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state="hidden" r:id="rId44"/>
    <sheet name="Sheet1" sheetId="73" state="hidden" r:id="rId45"/>
    <sheet name="Sheet2" sheetId="74"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5">'不动产比较法-办公'!$A$4:$J$50</definedName>
    <definedName name="_xlnm.Print_Area" localSheetId="17">'剩余法-待开发'!$A$1:$K$36</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5" i="71"/>
  <c r="F3"/>
  <c r="C16" l="1"/>
  <c r="Y5" i="59" l="1"/>
  <c r="J47" i="71" l="1"/>
  <c r="D4"/>
  <c r="J54" s="1"/>
  <c r="D2"/>
  <c r="C49" s="1"/>
  <c r="D3"/>
  <c r="C48" s="1"/>
  <c r="C53" l="1"/>
  <c r="J49"/>
  <c r="AH8" i="59"/>
  <c r="AG8"/>
  <c r="AE8"/>
  <c r="AF8" s="1"/>
  <c r="AD8"/>
  <c r="Q8"/>
  <c r="P8"/>
  <c r="O8"/>
  <c r="N8"/>
  <c r="F8"/>
  <c r="E8"/>
  <c r="V8" s="1"/>
  <c r="B8"/>
  <c r="S8" s="1"/>
  <c r="AH7"/>
  <c r="AG7"/>
  <c r="AE7"/>
  <c r="AF7" s="1"/>
  <c r="AD7"/>
  <c r="Q7"/>
  <c r="P7"/>
  <c r="O7"/>
  <c r="N7"/>
  <c r="E7"/>
  <c r="AH6"/>
  <c r="AG6"/>
  <c r="AE6"/>
  <c r="AF6" s="1"/>
  <c r="AD6"/>
  <c r="Q6"/>
  <c r="P6"/>
  <c r="O6"/>
  <c r="N6"/>
  <c r="AH5"/>
  <c r="AG5"/>
  <c r="AE5"/>
  <c r="AF5" s="1"/>
  <c r="AD5"/>
  <c r="Q5"/>
  <c r="P5"/>
  <c r="O5"/>
  <c r="N5"/>
  <c r="E6" l="1"/>
  <c r="E5" s="1"/>
  <c r="F7"/>
  <c r="F6" s="1"/>
  <c r="F5" s="1"/>
  <c r="B7"/>
  <c r="B6" s="1"/>
  <c r="B5" s="1"/>
  <c r="C8"/>
  <c r="T8" l="1"/>
  <c r="D8"/>
  <c r="C7"/>
  <c r="D7" l="1"/>
  <c r="C6"/>
  <c r="D6" l="1"/>
  <c r="C5"/>
  <c r="D5" s="1"/>
  <c r="D6" i="71" l="1"/>
  <c r="E6"/>
  <c r="D5"/>
  <c r="J53" l="1"/>
  <c r="C52"/>
  <c r="C34"/>
  <c r="Q34"/>
  <c r="F1" i="46" l="1"/>
  <c r="AY3" i="3" l="1"/>
  <c r="D9" i="59" l="1"/>
  <c r="U8" s="1"/>
  <c r="I3" l="1"/>
  <c r="L3"/>
  <c r="K3"/>
  <c r="J3"/>
  <c r="N9" l="1"/>
  <c r="Q9"/>
  <c r="P9"/>
  <c r="O9"/>
  <c r="K59" i="15" l="1"/>
  <c r="P62" s="1"/>
  <c r="P75" l="1"/>
  <c r="Q74" i="44" l="1"/>
  <c r="Q61"/>
  <c r="Q60"/>
  <c r="Q53"/>
  <c r="J51"/>
  <c r="J52" s="1"/>
  <c r="M48"/>
  <c r="A16" i="55" l="1"/>
  <c r="A15"/>
  <c r="A14"/>
  <c r="A11"/>
  <c r="A10"/>
  <c r="A9"/>
  <c r="A8"/>
  <c r="A6" i="54"/>
  <c r="A8"/>
  <c r="A7"/>
  <c r="A28" i="51"/>
  <c r="A27"/>
  <c r="D5" i="46" l="1"/>
  <c r="Q10" i="59" l="1"/>
  <c r="O10"/>
  <c r="N11"/>
  <c r="O11"/>
  <c r="P11"/>
  <c r="Q11"/>
  <c r="N10"/>
  <c r="P10"/>
  <c r="B14" i="67"/>
  <c r="B10"/>
  <c r="F10"/>
  <c r="E9"/>
  <c r="F13"/>
  <c r="F9"/>
  <c r="E12"/>
  <c r="B12"/>
  <c r="B8"/>
  <c r="F12"/>
  <c r="F8"/>
  <c r="F11"/>
  <c r="F14"/>
  <c r="E10"/>
  <c r="E13"/>
  <c r="E8"/>
  <c r="B9"/>
  <c r="E11"/>
  <c r="B11"/>
  <c r="E14"/>
  <c r="B13"/>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D21"/>
  <c r="AE21"/>
  <c r="AF21" s="1"/>
  <c r="AG21"/>
  <c r="AH21"/>
  <c r="AD22"/>
  <c r="AE22"/>
  <c r="AF22" s="1"/>
  <c r="AG22"/>
  <c r="AH22"/>
  <c r="AH23"/>
  <c r="AG23"/>
  <c r="AE23"/>
  <c r="AF23" s="1"/>
  <c r="AD23"/>
  <c r="AD24"/>
  <c r="AE24"/>
  <c r="AF24" s="1"/>
  <c r="AG24"/>
  <c r="AH24"/>
  <c r="S2" i="31" l="1"/>
  <c r="M2"/>
  <c r="N2"/>
  <c r="O2"/>
  <c r="P2"/>
  <c r="Q2"/>
  <c r="R2"/>
  <c r="C3" i="65" l="1"/>
  <c r="C1"/>
  <c r="N1" s="1"/>
  <c r="N7"/>
  <c r="H1" l="1"/>
  <c r="B76" i="63"/>
  <c r="J6" i="65"/>
  <c r="N5"/>
  <c r="N3"/>
  <c r="N4"/>
  <c r="N6"/>
  <c r="C4" l="1"/>
  <c r="B39" i="1" s="1"/>
  <c r="I3" i="65"/>
  <c r="I5"/>
  <c r="I6"/>
  <c r="I7"/>
  <c r="J3"/>
  <c r="J4"/>
  <c r="J7"/>
  <c r="J5"/>
  <c r="I4"/>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2" i="59" l="1"/>
  <c r="P12"/>
  <c r="O12"/>
  <c r="N12"/>
  <c r="D73"/>
  <c r="F72"/>
  <c r="E72"/>
  <c r="E71" s="1"/>
  <c r="E70" s="1"/>
  <c r="C72"/>
  <c r="D72" s="1"/>
  <c r="B72"/>
  <c r="F71"/>
  <c r="F70" s="1"/>
  <c r="B71"/>
  <c r="B70" s="1"/>
  <c r="D69"/>
  <c r="F68"/>
  <c r="E68"/>
  <c r="E67" s="1"/>
  <c r="E66" s="1"/>
  <c r="C68"/>
  <c r="D68" s="1"/>
  <c r="B68"/>
  <c r="F67"/>
  <c r="F66" s="1"/>
  <c r="B67"/>
  <c r="B66" s="1"/>
  <c r="D65"/>
  <c r="Q64"/>
  <c r="P64"/>
  <c r="O64"/>
  <c r="N64"/>
  <c r="F64"/>
  <c r="V64" s="1"/>
  <c r="E64"/>
  <c r="U64" s="1"/>
  <c r="C64"/>
  <c r="T64" s="1"/>
  <c r="B64"/>
  <c r="S64" s="1"/>
  <c r="Q63"/>
  <c r="P63"/>
  <c r="O63"/>
  <c r="N63"/>
  <c r="F63"/>
  <c r="F62" s="1"/>
  <c r="B63"/>
  <c r="B62" s="1"/>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F52"/>
  <c r="V52" s="1"/>
  <c r="E52"/>
  <c r="E51" s="1"/>
  <c r="P51" s="1"/>
  <c r="C52"/>
  <c r="B52"/>
  <c r="N52" s="1"/>
  <c r="F51"/>
  <c r="F50" s="1"/>
  <c r="Q50" s="1"/>
  <c r="B51"/>
  <c r="Q49"/>
  <c r="D49"/>
  <c r="Q48"/>
  <c r="P48"/>
  <c r="O48"/>
  <c r="N48"/>
  <c r="Q47"/>
  <c r="P47"/>
  <c r="O47"/>
  <c r="N47"/>
  <c r="Q46"/>
  <c r="P46"/>
  <c r="O46"/>
  <c r="N46"/>
  <c r="Q45"/>
  <c r="F46" s="1"/>
  <c r="P45"/>
  <c r="E46" s="1"/>
  <c r="E47" s="1"/>
  <c r="E48" s="1"/>
  <c r="U48" s="1"/>
  <c r="O45"/>
  <c r="C46" s="1"/>
  <c r="N45"/>
  <c r="B46" s="1"/>
  <c r="B47" s="1"/>
  <c r="B48" s="1"/>
  <c r="S48"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F35" s="1"/>
  <c r="F36" s="1"/>
  <c r="V36" s="1"/>
  <c r="P33"/>
  <c r="E34" s="1"/>
  <c r="O33"/>
  <c r="C34" s="1"/>
  <c r="N33"/>
  <c r="B34" s="1"/>
  <c r="D33"/>
  <c r="T32"/>
  <c r="Q32"/>
  <c r="P32"/>
  <c r="O32"/>
  <c r="N32"/>
  <c r="D32"/>
  <c r="Q31"/>
  <c r="P31"/>
  <c r="O31"/>
  <c r="N31"/>
  <c r="Q30"/>
  <c r="P30"/>
  <c r="O30"/>
  <c r="N30"/>
  <c r="Q29"/>
  <c r="F30" s="1"/>
  <c r="P29"/>
  <c r="E30" s="1"/>
  <c r="E31" s="1"/>
  <c r="E32" s="1"/>
  <c r="U32" s="1"/>
  <c r="O29"/>
  <c r="C30" s="1"/>
  <c r="N29"/>
  <c r="B30" s="1"/>
  <c r="B31" s="1"/>
  <c r="B32" s="1"/>
  <c r="S32" s="1"/>
  <c r="D29"/>
  <c r="Q28"/>
  <c r="P28"/>
  <c r="O28"/>
  <c r="N28"/>
  <c r="Q27"/>
  <c r="P27"/>
  <c r="O27"/>
  <c r="N27"/>
  <c r="Q26"/>
  <c r="P26"/>
  <c r="O26"/>
  <c r="N26"/>
  <c r="Q25"/>
  <c r="F26" s="1"/>
  <c r="P25"/>
  <c r="E26" s="1"/>
  <c r="E27" s="1"/>
  <c r="E28" s="1"/>
  <c r="U28" s="1"/>
  <c r="O25"/>
  <c r="C26" s="1"/>
  <c r="N25"/>
  <c r="B26" s="1"/>
  <c r="B27" s="1"/>
  <c r="B28" s="1"/>
  <c r="S28" s="1"/>
  <c r="D25"/>
  <c r="Q24"/>
  <c r="P24"/>
  <c r="O24"/>
  <c r="N24"/>
  <c r="Q23"/>
  <c r="AB23" s="1"/>
  <c r="P23"/>
  <c r="O23"/>
  <c r="Y23" s="1"/>
  <c r="Z23" s="1"/>
  <c r="N23"/>
  <c r="X23" s="1"/>
  <c r="Q22"/>
  <c r="AB22" s="1"/>
  <c r="P22"/>
  <c r="AA22" s="1"/>
  <c r="O22"/>
  <c r="Y22" s="1"/>
  <c r="N22"/>
  <c r="X22" s="1"/>
  <c r="Q21"/>
  <c r="P21"/>
  <c r="O21"/>
  <c r="N21"/>
  <c r="D21"/>
  <c r="Q20"/>
  <c r="AB20" s="1"/>
  <c r="P20"/>
  <c r="AA20" s="1"/>
  <c r="O20"/>
  <c r="Y20" s="1"/>
  <c r="Z20" s="1"/>
  <c r="N20"/>
  <c r="X20" s="1"/>
  <c r="Q19"/>
  <c r="AB19" s="1"/>
  <c r="P19"/>
  <c r="AA19" s="1"/>
  <c r="O19"/>
  <c r="Y19" s="1"/>
  <c r="Z19" s="1"/>
  <c r="N19"/>
  <c r="X19" s="1"/>
  <c r="Q18"/>
  <c r="AB18" s="1"/>
  <c r="P18"/>
  <c r="AA18" s="1"/>
  <c r="O18"/>
  <c r="Y18" s="1"/>
  <c r="Z18" s="1"/>
  <c r="N18"/>
  <c r="X18" s="1"/>
  <c r="Q17"/>
  <c r="P17"/>
  <c r="O17"/>
  <c r="N17"/>
  <c r="D17"/>
  <c r="Q16"/>
  <c r="P16"/>
  <c r="AA16" s="1"/>
  <c r="O16"/>
  <c r="Y16" s="1"/>
  <c r="Z16" s="1"/>
  <c r="N16"/>
  <c r="X16" s="1"/>
  <c r="Q15"/>
  <c r="AB15" s="1"/>
  <c r="P15"/>
  <c r="AA15" s="1"/>
  <c r="O15"/>
  <c r="Y15" s="1"/>
  <c r="Z15" s="1"/>
  <c r="N15"/>
  <c r="X15" s="1"/>
  <c r="Q14"/>
  <c r="AB14" s="1"/>
  <c r="P14"/>
  <c r="AA14" s="1"/>
  <c r="O14"/>
  <c r="Y14" s="1"/>
  <c r="Z14" s="1"/>
  <c r="N14"/>
  <c r="X14" s="1"/>
  <c r="Q13"/>
  <c r="P13"/>
  <c r="AA13" s="1"/>
  <c r="O13"/>
  <c r="N13"/>
  <c r="D13"/>
  <c r="X5" l="1"/>
  <c r="X8"/>
  <c r="X7"/>
  <c r="X6"/>
  <c r="AA6"/>
  <c r="AA8"/>
  <c r="AA7"/>
  <c r="AA5"/>
  <c r="AB16"/>
  <c r="Y8"/>
  <c r="Z8" s="1"/>
  <c r="Y7"/>
  <c r="Z7" s="1"/>
  <c r="Y6"/>
  <c r="Z6" s="1"/>
  <c r="Z5"/>
  <c r="AB6"/>
  <c r="AB8"/>
  <c r="AB5"/>
  <c r="AB7"/>
  <c r="C18"/>
  <c r="Y17"/>
  <c r="Z17" s="1"/>
  <c r="F18"/>
  <c r="AB17"/>
  <c r="B22"/>
  <c r="B23" s="1"/>
  <c r="B24" s="1"/>
  <c r="S24" s="1"/>
  <c r="X21"/>
  <c r="E22"/>
  <c r="E23" s="1"/>
  <c r="E24" s="1"/>
  <c r="U24" s="1"/>
  <c r="AA21"/>
  <c r="B12"/>
  <c r="E12"/>
  <c r="B14"/>
  <c r="X13"/>
  <c r="C14"/>
  <c r="Y13"/>
  <c r="Z13" s="1"/>
  <c r="F14"/>
  <c r="AB13"/>
  <c r="B18"/>
  <c r="B19" s="1"/>
  <c r="B20" s="1"/>
  <c r="S20" s="1"/>
  <c r="X17"/>
  <c r="E18"/>
  <c r="E19" s="1"/>
  <c r="E20" s="1"/>
  <c r="U20" s="1"/>
  <c r="AA17"/>
  <c r="C22"/>
  <c r="Y21"/>
  <c r="Z21" s="1"/>
  <c r="F22"/>
  <c r="AB21"/>
  <c r="C12"/>
  <c r="F12"/>
  <c r="X3"/>
  <c r="X9"/>
  <c r="X10"/>
  <c r="X11"/>
  <c r="X12"/>
  <c r="AA3"/>
  <c r="AA9"/>
  <c r="AA10"/>
  <c r="AA11"/>
  <c r="AA12"/>
  <c r="Y9"/>
  <c r="Z9" s="1"/>
  <c r="Y10"/>
  <c r="Z10" s="1"/>
  <c r="Y11"/>
  <c r="Z11" s="1"/>
  <c r="Y12"/>
  <c r="Z12" s="1"/>
  <c r="Y3"/>
  <c r="Z3" s="1"/>
  <c r="AB12"/>
  <c r="AB3"/>
  <c r="AB9"/>
  <c r="AB10"/>
  <c r="AB11"/>
  <c r="B15"/>
  <c r="B16" s="1"/>
  <c r="S16" s="1"/>
  <c r="E14"/>
  <c r="E15" s="1"/>
  <c r="E16" s="1"/>
  <c r="U16" s="1"/>
  <c r="B35"/>
  <c r="B36" s="1"/>
  <c r="S36" s="1"/>
  <c r="E35"/>
  <c r="E36" s="1"/>
  <c r="U36" s="1"/>
  <c r="S52"/>
  <c r="Z22"/>
  <c r="AA23"/>
  <c r="F15"/>
  <c r="F16" s="1"/>
  <c r="V16" s="1"/>
  <c r="F19"/>
  <c r="F20" s="1"/>
  <c r="V20" s="1"/>
  <c r="F23"/>
  <c r="F24" s="1"/>
  <c r="V24" s="1"/>
  <c r="F27"/>
  <c r="F28" s="1"/>
  <c r="V28" s="1"/>
  <c r="F31"/>
  <c r="F32" s="1"/>
  <c r="V32" s="1"/>
  <c r="F39"/>
  <c r="F40" s="1"/>
  <c r="V40" s="1"/>
  <c r="F43"/>
  <c r="F44" s="1"/>
  <c r="V44" s="1"/>
  <c r="F47"/>
  <c r="F48" s="1"/>
  <c r="V48" s="1"/>
  <c r="C15"/>
  <c r="D14"/>
  <c r="C23"/>
  <c r="D22"/>
  <c r="C27"/>
  <c r="D26"/>
  <c r="C31"/>
  <c r="D31" s="1"/>
  <c r="D30"/>
  <c r="C35"/>
  <c r="D34"/>
  <c r="C39"/>
  <c r="D38"/>
  <c r="C43"/>
  <c r="D42"/>
  <c r="C47"/>
  <c r="D46"/>
  <c r="C19"/>
  <c r="D18"/>
  <c r="E50"/>
  <c r="N51"/>
  <c r="B50"/>
  <c r="Q51"/>
  <c r="T52"/>
  <c r="O52"/>
  <c r="D52"/>
  <c r="C51"/>
  <c r="P52"/>
  <c r="U52"/>
  <c r="Q52"/>
  <c r="C55"/>
  <c r="E55"/>
  <c r="E54" s="1"/>
  <c r="D56"/>
  <c r="C59"/>
  <c r="E59"/>
  <c r="E58" s="1"/>
  <c r="D60"/>
  <c r="C63"/>
  <c r="E63"/>
  <c r="E62" s="1"/>
  <c r="D64"/>
  <c r="C67"/>
  <c r="C71"/>
  <c r="U16" i="4"/>
  <c r="S16"/>
  <c r="Q16"/>
  <c r="O16"/>
  <c r="M16"/>
  <c r="K16"/>
  <c r="V12" i="59" l="1"/>
  <c r="F11"/>
  <c r="F10" s="1"/>
  <c r="U12"/>
  <c r="E11"/>
  <c r="E10" s="1"/>
  <c r="D12"/>
  <c r="T12"/>
  <c r="C11"/>
  <c r="S12"/>
  <c r="B11"/>
  <c r="B10" s="1"/>
  <c r="P49"/>
  <c r="P50"/>
  <c r="D71"/>
  <c r="C70"/>
  <c r="D70" s="1"/>
  <c r="D63"/>
  <c r="C62"/>
  <c r="D62" s="1"/>
  <c r="D55"/>
  <c r="C54"/>
  <c r="D54" s="1"/>
  <c r="C50"/>
  <c r="O51"/>
  <c r="D51"/>
  <c r="D67"/>
  <c r="C66"/>
  <c r="D66" s="1"/>
  <c r="D59"/>
  <c r="C58"/>
  <c r="D58" s="1"/>
  <c r="N49"/>
  <c r="N50"/>
  <c r="C20"/>
  <c r="D19"/>
  <c r="C48"/>
  <c r="D47"/>
  <c r="D43"/>
  <c r="C44"/>
  <c r="C40"/>
  <c r="D39"/>
  <c r="C36"/>
  <c r="D35"/>
  <c r="C28"/>
  <c r="D27"/>
  <c r="C24"/>
  <c r="D23"/>
  <c r="C16"/>
  <c r="D15"/>
  <c r="N16" i="4"/>
  <c r="L16"/>
  <c r="D11" i="59" l="1"/>
  <c r="C10"/>
  <c r="D10" s="1"/>
  <c r="T44"/>
  <c r="D44"/>
  <c r="T16"/>
  <c r="D16"/>
  <c r="T24"/>
  <c r="D24"/>
  <c r="M19" i="46" s="1"/>
  <c r="T28" i="59"/>
  <c r="D28"/>
  <c r="T36"/>
  <c r="D36"/>
  <c r="T40"/>
  <c r="D40"/>
  <c r="T48"/>
  <c r="D48"/>
  <c r="T20"/>
  <c r="D20"/>
  <c r="O50"/>
  <c r="D50"/>
  <c r="O49"/>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J50" s="1"/>
  <c r="D50" s="1"/>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AX112"/>
  <c r="AW112"/>
  <c r="AV112"/>
  <c r="AC112"/>
  <c r="H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BA109" s="1"/>
  <c r="AX109"/>
  <c r="AW109"/>
  <c r="AV109"/>
  <c r="AC109"/>
  <c r="H109"/>
  <c r="BT108"/>
  <c r="BS108"/>
  <c r="BR108"/>
  <c r="BQ108"/>
  <c r="BP108"/>
  <c r="BO108"/>
  <c r="BN108"/>
  <c r="BM108"/>
  <c r="BL108" s="1"/>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BA96" s="1"/>
  <c r="AX96"/>
  <c r="AW96"/>
  <c r="AV96"/>
  <c r="AC96"/>
  <c r="H96"/>
  <c r="BT95"/>
  <c r="BS95"/>
  <c r="BR95"/>
  <c r="BQ95"/>
  <c r="BP95"/>
  <c r="BO95"/>
  <c r="BN95"/>
  <c r="BM95"/>
  <c r="BL95" s="1"/>
  <c r="BK95"/>
  <c r="BJ95"/>
  <c r="BI95"/>
  <c r="BH95"/>
  <c r="BG95"/>
  <c r="BF95"/>
  <c r="BE95"/>
  <c r="BD95"/>
  <c r="BC95"/>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BA93" s="1"/>
  <c r="AX93"/>
  <c r="AW93"/>
  <c r="AV93"/>
  <c r="AC93"/>
  <c r="H93"/>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BA76" s="1"/>
  <c r="AX76"/>
  <c r="AW76"/>
  <c r="AV76"/>
  <c r="AC76"/>
  <c r="H76"/>
  <c r="BT75"/>
  <c r="BS75"/>
  <c r="BR75"/>
  <c r="BQ75"/>
  <c r="BP75"/>
  <c r="BO75"/>
  <c r="BN75"/>
  <c r="BM75"/>
  <c r="BL75" s="1"/>
  <c r="BK75"/>
  <c r="BJ75"/>
  <c r="BI75"/>
  <c r="BH75"/>
  <c r="BG75"/>
  <c r="BF75"/>
  <c r="BE75"/>
  <c r="BD75"/>
  <c r="BC75"/>
  <c r="BB75"/>
  <c r="AX75"/>
  <c r="AW75"/>
  <c r="AV75"/>
  <c r="AC75"/>
  <c r="H75"/>
  <c r="G75" s="1"/>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BA69" s="1"/>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BA52" s="1"/>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L34" s="1"/>
  <c r="BK34"/>
  <c r="BJ34"/>
  <c r="BI34"/>
  <c r="BH34"/>
  <c r="BG34"/>
  <c r="BF34"/>
  <c r="BE34"/>
  <c r="BD34"/>
  <c r="BC34"/>
  <c r="BB34"/>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BA28" s="1"/>
  <c r="AX28"/>
  <c r="AW28"/>
  <c r="AV28"/>
  <c r="AC28"/>
  <c r="H28"/>
  <c r="BT27"/>
  <c r="BS27"/>
  <c r="BR27"/>
  <c r="BQ27"/>
  <c r="BP27"/>
  <c r="BO27"/>
  <c r="BN27"/>
  <c r="BM27"/>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L204" s="1"/>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s="1"/>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s="1"/>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388"/>
  <c r="BS388"/>
  <c r="BR388"/>
  <c r="BQ388"/>
  <c r="BP388"/>
  <c r="BO388"/>
  <c r="BN388"/>
  <c r="BM388"/>
  <c r="BK388"/>
  <c r="BJ388"/>
  <c r="BI388"/>
  <c r="BH388"/>
  <c r="BG388"/>
  <c r="BF388"/>
  <c r="BE388"/>
  <c r="BD388"/>
  <c r="BC388"/>
  <c r="BB388"/>
  <c r="AX388"/>
  <c r="AW388"/>
  <c r="AV388"/>
  <c r="AC388"/>
  <c r="H388"/>
  <c r="G388" s="1"/>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s="1"/>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s="1"/>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BA475" s="1"/>
  <c r="AX475"/>
  <c r="AW475"/>
  <c r="AV475"/>
  <c r="AC475"/>
  <c r="H475"/>
  <c r="G475" s="1"/>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BA470" s="1"/>
  <c r="AX470"/>
  <c r="AW470"/>
  <c r="AV470"/>
  <c r="AC470"/>
  <c r="H470"/>
  <c r="BT469"/>
  <c r="BS469"/>
  <c r="BR469"/>
  <c r="BQ469"/>
  <c r="BP469"/>
  <c r="BO469"/>
  <c r="BN469"/>
  <c r="BM469"/>
  <c r="BL469" s="1"/>
  <c r="BK469"/>
  <c r="BJ469"/>
  <c r="BI469"/>
  <c r="BH469"/>
  <c r="BG469"/>
  <c r="BF469"/>
  <c r="BE469"/>
  <c r="BD469"/>
  <c r="BC469"/>
  <c r="BB469"/>
  <c r="AX469"/>
  <c r="AW469"/>
  <c r="AV469"/>
  <c r="AC469"/>
  <c r="H469"/>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BA466" s="1"/>
  <c r="AX466"/>
  <c r="AW466"/>
  <c r="AV466"/>
  <c r="AC466"/>
  <c r="H466"/>
  <c r="G466" s="1"/>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BT396"/>
  <c r="BS396"/>
  <c r="BR396"/>
  <c r="BQ396"/>
  <c r="BP396"/>
  <c r="BO396"/>
  <c r="BN396"/>
  <c r="BM396"/>
  <c r="BL396" s="1"/>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L390" s="1"/>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s="1"/>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H54" s="1"/>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G488" s="1"/>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G493" s="1"/>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G508" s="1"/>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G517" s="1"/>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G526" s="1"/>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G534" s="1"/>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AA31" s="1"/>
  <c r="D87"/>
  <c r="E87" s="1"/>
  <c r="F87" s="1"/>
  <c r="G87" s="1"/>
  <c r="H87" s="1"/>
  <c r="I87" s="1"/>
  <c r="J87" s="1"/>
  <c r="K87" s="1"/>
  <c r="L87" s="1"/>
  <c r="M87" s="1"/>
  <c r="H34" i="37"/>
  <c r="AB34" s="1"/>
  <c r="D101"/>
  <c r="F34"/>
  <c r="S34" s="1"/>
  <c r="D99"/>
  <c r="E99" s="1"/>
  <c r="F99" s="1"/>
  <c r="G99" s="1"/>
  <c r="F33" s="1"/>
  <c r="H42" i="34"/>
  <c r="AB42" s="1"/>
  <c r="J42"/>
  <c r="F42"/>
  <c r="AA42" s="1"/>
  <c r="J38"/>
  <c r="D114"/>
  <c r="E114" s="1"/>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B110"/>
  <c r="J39" s="1"/>
  <c r="AC39" s="1"/>
  <c r="B108"/>
  <c r="C23"/>
  <c r="C19"/>
  <c r="C17"/>
  <c r="C15"/>
  <c r="B112"/>
  <c r="D107"/>
  <c r="E107" s="1"/>
  <c r="F107" s="1"/>
  <c r="G107" s="1"/>
  <c r="H107" s="1"/>
  <c r="I107" s="1"/>
  <c r="J107" s="1"/>
  <c r="K107" s="1"/>
  <c r="L107" s="1"/>
  <c r="M107" s="1"/>
  <c r="D105"/>
  <c r="E105" s="1"/>
  <c r="F105" s="1"/>
  <c r="G105" s="1"/>
  <c r="H36"/>
  <c r="U36" s="1"/>
  <c r="D103"/>
  <c r="J35"/>
  <c r="AC35" s="1"/>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J26" s="1"/>
  <c r="W26" s="1"/>
  <c r="D79"/>
  <c r="E79" s="1"/>
  <c r="F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H26"/>
  <c r="AB26" s="1"/>
  <c r="Q25"/>
  <c r="Z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J33" s="1"/>
  <c r="B91"/>
  <c r="F32" s="1"/>
  <c r="S32" s="1"/>
  <c r="B95"/>
  <c r="D83"/>
  <c r="E83" s="1"/>
  <c r="F83" s="1"/>
  <c r="G83" s="1"/>
  <c r="H83" s="1"/>
  <c r="I83" s="1"/>
  <c r="J83" s="1"/>
  <c r="K83" s="1"/>
  <c r="L83" s="1"/>
  <c r="M83" s="1"/>
  <c r="D78"/>
  <c r="J26"/>
  <c r="W26" s="1"/>
  <c r="B75"/>
  <c r="F25" s="1"/>
  <c r="AA25" s="1"/>
  <c r="B73"/>
  <c r="J24" s="1"/>
  <c r="B71"/>
  <c r="F23" s="1"/>
  <c r="AA23" s="1"/>
  <c r="D70"/>
  <c r="H22"/>
  <c r="AB22" s="1"/>
  <c r="D68"/>
  <c r="E68" s="1"/>
  <c r="D64"/>
  <c r="E64" s="1"/>
  <c r="F64" s="1"/>
  <c r="G64" s="1"/>
  <c r="J16"/>
  <c r="D62"/>
  <c r="E62" s="1"/>
  <c r="B59"/>
  <c r="B57"/>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Q22"/>
  <c r="Z22" s="1"/>
  <c r="J22"/>
  <c r="AC22" s="1"/>
  <c r="Q20"/>
  <c r="Z20" s="1"/>
  <c r="Q16"/>
  <c r="Z16" s="1"/>
  <c r="Q14"/>
  <c r="Z14" s="1"/>
  <c r="Q13"/>
  <c r="Z13" s="1"/>
  <c r="Q12"/>
  <c r="Z12" s="1"/>
  <c r="Q11"/>
  <c r="Z11" s="1"/>
  <c r="Q10"/>
  <c r="Z10" s="1"/>
  <c r="F10"/>
  <c r="AA10" s="1"/>
  <c r="Q9"/>
  <c r="Z9" s="1"/>
  <c r="F9"/>
  <c r="AA9" s="1"/>
  <c r="J8"/>
  <c r="AC8" s="1"/>
  <c r="H8"/>
  <c r="F8"/>
  <c r="AA8" s="1"/>
  <c r="C7"/>
  <c r="D89" i="35"/>
  <c r="H30"/>
  <c r="U30" s="1"/>
  <c r="M90"/>
  <c r="L90"/>
  <c r="K90"/>
  <c r="J90"/>
  <c r="I90"/>
  <c r="H90"/>
  <c r="G90"/>
  <c r="F90"/>
  <c r="E90"/>
  <c r="D90"/>
  <c r="C90"/>
  <c r="F85"/>
  <c r="E85"/>
  <c r="D85"/>
  <c r="C85"/>
  <c r="J27"/>
  <c r="W27" s="1"/>
  <c r="H27"/>
  <c r="U27" s="1"/>
  <c r="F27"/>
  <c r="AA27" s="1"/>
  <c r="J22"/>
  <c r="AC22" s="1"/>
  <c r="B101"/>
  <c r="H36" s="1"/>
  <c r="B99"/>
  <c r="B97"/>
  <c r="B77"/>
  <c r="B75"/>
  <c r="B73"/>
  <c r="J23" s="1"/>
  <c r="B57"/>
  <c r="F11" s="1"/>
  <c r="S11" s="1"/>
  <c r="B61"/>
  <c r="B59"/>
  <c r="B131" i="34"/>
  <c r="B129"/>
  <c r="B127"/>
  <c r="B99"/>
  <c r="B97"/>
  <c r="B95"/>
  <c r="B93"/>
  <c r="B75"/>
  <c r="B73"/>
  <c r="B71"/>
  <c r="B130" i="33"/>
  <c r="B128"/>
  <c r="B126"/>
  <c r="B98"/>
  <c r="B96"/>
  <c r="B94"/>
  <c r="B74"/>
  <c r="B72"/>
  <c r="F13" s="1"/>
  <c r="B70"/>
  <c r="H12" s="1"/>
  <c r="U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Q33"/>
  <c r="Z33" s="1"/>
  <c r="Q32"/>
  <c r="Z32" s="1"/>
  <c r="H32"/>
  <c r="AB32" s="1"/>
  <c r="F32"/>
  <c r="AA32" s="1"/>
  <c r="Q31"/>
  <c r="Z31" s="1"/>
  <c r="AB31"/>
  <c r="Q30"/>
  <c r="Z30" s="1"/>
  <c r="Q29"/>
  <c r="Z29" s="1"/>
  <c r="Q28"/>
  <c r="Z28" s="1"/>
  <c r="J28"/>
  <c r="H28"/>
  <c r="F28"/>
  <c r="AA28" s="1"/>
  <c r="Q27"/>
  <c r="Z27" s="1"/>
  <c r="Q26"/>
  <c r="Z26" s="1"/>
  <c r="Q25"/>
  <c r="Z25" s="1"/>
  <c r="Q24"/>
  <c r="Z24" s="1"/>
  <c r="Q23"/>
  <c r="Z23" s="1"/>
  <c r="Q22"/>
  <c r="Z22" s="1"/>
  <c r="Q20"/>
  <c r="Z20" s="1"/>
  <c r="Q16"/>
  <c r="Z16" s="1"/>
  <c r="Q14"/>
  <c r="Z14" s="1"/>
  <c r="Q13"/>
  <c r="Z13" s="1"/>
  <c r="Q12"/>
  <c r="Z12" s="1"/>
  <c r="Q11"/>
  <c r="Z11" s="1"/>
  <c r="Q10"/>
  <c r="Z10" s="1"/>
  <c r="Q9"/>
  <c r="Z9" s="1"/>
  <c r="J9"/>
  <c r="W9" s="1"/>
  <c r="J8"/>
  <c r="AC8" s="1"/>
  <c r="H8"/>
  <c r="F8"/>
  <c r="AA8" s="1"/>
  <c r="C7"/>
  <c r="D120" i="34"/>
  <c r="E120" s="1"/>
  <c r="F120" s="1"/>
  <c r="G120" s="1"/>
  <c r="H120" s="1"/>
  <c r="I120" s="1"/>
  <c r="J120" s="1"/>
  <c r="K120" s="1"/>
  <c r="L120" s="1"/>
  <c r="M120" s="1"/>
  <c r="D90"/>
  <c r="C15"/>
  <c r="F67"/>
  <c r="G67" s="1"/>
  <c r="H67" s="1"/>
  <c r="I67" s="1"/>
  <c r="D126"/>
  <c r="D124"/>
  <c r="E124" s="1"/>
  <c r="F124" s="1"/>
  <c r="G124" s="1"/>
  <c r="H124" s="1"/>
  <c r="I124" s="1"/>
  <c r="J124" s="1"/>
  <c r="K124" s="1"/>
  <c r="L124" s="1"/>
  <c r="M124" s="1"/>
  <c r="D118"/>
  <c r="E118" s="1"/>
  <c r="F118" s="1"/>
  <c r="G118" s="1"/>
  <c r="H40"/>
  <c r="U40" s="1"/>
  <c r="D116"/>
  <c r="F110"/>
  <c r="E110"/>
  <c r="D110"/>
  <c r="C110"/>
  <c r="D109"/>
  <c r="E109" s="1"/>
  <c r="F109" s="1"/>
  <c r="G109" s="1"/>
  <c r="H109" s="1"/>
  <c r="I109" s="1"/>
  <c r="J109" s="1"/>
  <c r="K109" s="1"/>
  <c r="L109" s="1"/>
  <c r="M109" s="1"/>
  <c r="D107"/>
  <c r="E107" s="1"/>
  <c r="M103"/>
  <c r="L103"/>
  <c r="K103"/>
  <c r="J103"/>
  <c r="I103"/>
  <c r="H103"/>
  <c r="G103"/>
  <c r="F103"/>
  <c r="E103"/>
  <c r="D103"/>
  <c r="C103"/>
  <c r="D102"/>
  <c r="D92"/>
  <c r="E92" s="1"/>
  <c r="F92" s="1"/>
  <c r="G92" s="1"/>
  <c r="H92" s="1"/>
  <c r="I92" s="1"/>
  <c r="J92" s="1"/>
  <c r="K92" s="1"/>
  <c r="L92" s="1"/>
  <c r="M92" s="1"/>
  <c r="B9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H8"/>
  <c r="U8" s="1"/>
  <c r="F8"/>
  <c r="AA8" s="1"/>
  <c r="C7"/>
  <c r="D121" i="33"/>
  <c r="F109"/>
  <c r="E109"/>
  <c r="D109"/>
  <c r="C109"/>
  <c r="D91"/>
  <c r="E91" s="1"/>
  <c r="F91" s="1"/>
  <c r="G91" s="1"/>
  <c r="H91" s="1"/>
  <c r="I91" s="1"/>
  <c r="J91" s="1"/>
  <c r="K91" s="1"/>
  <c r="L91" s="1"/>
  <c r="M91" s="1"/>
  <c r="B88"/>
  <c r="C23"/>
  <c r="C19"/>
  <c r="C17"/>
  <c r="C15"/>
  <c r="C15" i="21"/>
  <c r="D125" i="33"/>
  <c r="E125" s="1"/>
  <c r="F125" s="1"/>
  <c r="G125" s="1"/>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AA28" s="1"/>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F45" s="1"/>
  <c r="AA45" s="1"/>
  <c r="B126"/>
  <c r="B98"/>
  <c r="B96"/>
  <c r="B94"/>
  <c r="B92"/>
  <c r="B90"/>
  <c r="H27" s="1"/>
  <c r="AB27" s="1"/>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s="1"/>
  <c r="F36"/>
  <c r="F39"/>
  <c r="AA39" s="1"/>
  <c r="J40"/>
  <c r="H35"/>
  <c r="AB35" s="1"/>
  <c r="J8"/>
  <c r="H8"/>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W39"/>
  <c r="F29" i="36"/>
  <c r="AA29" s="1"/>
  <c r="F16"/>
  <c r="AA16" s="1"/>
  <c r="U22"/>
  <c r="U26"/>
  <c r="AC31"/>
  <c r="AC27" i="35"/>
  <c r="U31"/>
  <c r="S31"/>
  <c r="F36" i="34"/>
  <c r="S36" s="1"/>
  <c r="S34"/>
  <c r="H39" i="33"/>
  <c r="AB39" s="1"/>
  <c r="U33"/>
  <c r="S40"/>
  <c r="S33"/>
  <c r="S8" i="21"/>
  <c r="H39" i="37"/>
  <c r="AB27" i="35"/>
  <c r="S10" i="40"/>
  <c r="W10"/>
  <c r="S11"/>
  <c r="U11"/>
  <c r="S36"/>
  <c r="U36"/>
  <c r="S40" i="39"/>
  <c r="S36"/>
  <c r="F11" i="21"/>
  <c r="S11" s="1"/>
  <c r="AA38"/>
  <c r="AB36"/>
  <c r="AC35"/>
  <c r="U36" i="39"/>
  <c r="S42"/>
  <c r="H32" i="33"/>
  <c r="AB32" s="1"/>
  <c r="H11" i="21"/>
  <c r="U11" s="1"/>
  <c r="J11"/>
  <c r="W11" s="1"/>
  <c r="F100" i="40"/>
  <c r="J27" i="36"/>
  <c r="W27" s="1"/>
  <c r="J34"/>
  <c r="W34" s="1"/>
  <c r="J30" i="35"/>
  <c r="W30" s="1"/>
  <c r="F22"/>
  <c r="H10"/>
  <c r="U10" s="1"/>
  <c r="U29" i="36"/>
  <c r="E85"/>
  <c r="F85" s="1"/>
  <c r="G85" s="1"/>
  <c r="H85" s="1"/>
  <c r="I85" s="1"/>
  <c r="J85" s="1"/>
  <c r="K85" s="1"/>
  <c r="L85" s="1"/>
  <c r="M85" s="1"/>
  <c r="J29"/>
  <c r="AC29" s="1"/>
  <c r="F24"/>
  <c r="AA24" s="1"/>
  <c r="H16" i="35"/>
  <c r="U16" s="1"/>
  <c r="H33"/>
  <c r="AB33" s="1"/>
  <c r="W8"/>
  <c r="F35" i="37"/>
  <c r="E101"/>
  <c r="F101" s="1"/>
  <c r="G101" s="1"/>
  <c r="H101" s="1"/>
  <c r="I101" s="1"/>
  <c r="J101" s="1"/>
  <c r="K101" s="1"/>
  <c r="L101" s="1"/>
  <c r="M101" s="1"/>
  <c r="J34"/>
  <c r="W34" s="1"/>
  <c r="H43" i="34"/>
  <c r="AB43" s="1"/>
  <c r="U42"/>
  <c r="H36"/>
  <c r="U36" s="1"/>
  <c r="F19"/>
  <c r="AA19" s="1"/>
  <c r="J10"/>
  <c r="AC10" s="1"/>
  <c r="U9"/>
  <c r="J28"/>
  <c r="W28" s="1"/>
  <c r="S38" i="33"/>
  <c r="E113"/>
  <c r="F36"/>
  <c r="S36" s="1"/>
  <c r="F19"/>
  <c r="S19" s="1"/>
  <c r="J19"/>
  <c r="W40"/>
  <c r="AB30" i="36"/>
  <c r="AC34"/>
  <c r="H29" i="35"/>
  <c r="U34" i="37"/>
  <c r="AA34"/>
  <c r="AB40" i="34"/>
  <c r="J19"/>
  <c r="AC19" s="1"/>
  <c r="F113" i="33"/>
  <c r="G113" s="1"/>
  <c r="H113" s="1"/>
  <c r="I113" s="1"/>
  <c r="J113" s="1"/>
  <c r="K113" s="1"/>
  <c r="L113" s="1"/>
  <c r="M113" s="1"/>
  <c r="H37"/>
  <c r="AB37" s="1"/>
  <c r="S37"/>
  <c r="AC42" i="34"/>
  <c r="W42"/>
  <c r="S42"/>
  <c r="AC38"/>
  <c r="W38"/>
  <c r="AA38"/>
  <c r="S38"/>
  <c r="J37" i="33"/>
  <c r="W37" s="1"/>
  <c r="J42" i="21"/>
  <c r="AC42" s="1"/>
  <c r="F44" i="34"/>
  <c r="S44" s="1"/>
  <c r="J10" i="35"/>
  <c r="W10" s="1"/>
  <c r="AL5" i="3"/>
  <c r="BQ13"/>
  <c r="J14" i="21"/>
  <c r="F14"/>
  <c r="AA14" s="1"/>
  <c r="H14"/>
  <c r="U14" s="1"/>
  <c r="H28"/>
  <c r="AB28" s="1"/>
  <c r="F28"/>
  <c r="AA28" s="1"/>
  <c r="J28"/>
  <c r="AC28" s="1"/>
  <c r="H30"/>
  <c r="F30"/>
  <c r="S30" s="1"/>
  <c r="J30"/>
  <c r="AC30" s="1"/>
  <c r="J44"/>
  <c r="AC44" s="1"/>
  <c r="H44"/>
  <c r="U44" s="1"/>
  <c r="F44"/>
  <c r="AA44" s="1"/>
  <c r="H46"/>
  <c r="J46"/>
  <c r="W46" s="1"/>
  <c r="F46"/>
  <c r="H28" i="33"/>
  <c r="J28"/>
  <c r="W28" s="1"/>
  <c r="F33" i="35"/>
  <c r="S33" s="1"/>
  <c r="J33"/>
  <c r="W33" s="1"/>
  <c r="F30"/>
  <c r="AA30" s="1"/>
  <c r="E89"/>
  <c r="F89" s="1"/>
  <c r="G89" s="1"/>
  <c r="H89" s="1"/>
  <c r="I89" s="1"/>
  <c r="J89" s="1"/>
  <c r="K89" s="1"/>
  <c r="L89" s="1"/>
  <c r="M89" s="1"/>
  <c r="H10" i="36"/>
  <c r="AB10" s="1"/>
  <c r="F28"/>
  <c r="S28" s="1"/>
  <c r="F27"/>
  <c r="S27" s="1"/>
  <c r="H13" i="21"/>
  <c r="U13" s="1"/>
  <c r="F29"/>
  <c r="S29" s="1"/>
  <c r="J45"/>
  <c r="W45" s="1"/>
  <c r="J27" i="33"/>
  <c r="AC27" s="1"/>
  <c r="F27"/>
  <c r="J29"/>
  <c r="H31"/>
  <c r="U31" s="1"/>
  <c r="F45"/>
  <c r="S45" s="1"/>
  <c r="H28" i="36"/>
  <c r="U28" s="1"/>
  <c r="H32"/>
  <c r="AB32" s="1"/>
  <c r="J32"/>
  <c r="AC32" s="1"/>
  <c r="J11"/>
  <c r="W11" s="1"/>
  <c r="H13"/>
  <c r="AB13" s="1"/>
  <c r="J13"/>
  <c r="F13"/>
  <c r="S13" s="1"/>
  <c r="J29" i="37"/>
  <c r="F29"/>
  <c r="AA29" s="1"/>
  <c r="AB36"/>
  <c r="J37"/>
  <c r="AC37" s="1"/>
  <c r="H37"/>
  <c r="U37" s="1"/>
  <c r="H40"/>
  <c r="J40"/>
  <c r="AC40" s="1"/>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H31"/>
  <c r="AB31" s="1"/>
  <c r="F31"/>
  <c r="S31" s="1"/>
  <c r="H45"/>
  <c r="U45" s="1"/>
  <c r="J45"/>
  <c r="W45" s="1"/>
  <c r="F45"/>
  <c r="AA45" s="1"/>
  <c r="H47"/>
  <c r="U47" s="1"/>
  <c r="F47"/>
  <c r="AA47" s="1"/>
  <c r="J47"/>
  <c r="AC47" s="1"/>
  <c r="F13" i="35"/>
  <c r="S13" s="1"/>
  <c r="J13"/>
  <c r="AC13" s="1"/>
  <c r="H13"/>
  <c r="U13" s="1"/>
  <c r="J25"/>
  <c r="AC25" s="1"/>
  <c r="F25"/>
  <c r="AA25" s="1"/>
  <c r="H25"/>
  <c r="AB25" s="1"/>
  <c r="J35"/>
  <c r="F35"/>
  <c r="S35" s="1"/>
  <c r="H35"/>
  <c r="U35" s="1"/>
  <c r="J25" i="36"/>
  <c r="W25" s="1"/>
  <c r="H25"/>
  <c r="AB25" s="1"/>
  <c r="F13" i="37"/>
  <c r="S13" s="1"/>
  <c r="F28"/>
  <c r="AA28" s="1"/>
  <c r="J28"/>
  <c r="AC28" s="1"/>
  <c r="H28"/>
  <c r="U28" s="1"/>
  <c r="J38"/>
  <c r="AC38" s="1"/>
  <c r="F14"/>
  <c r="AA14" s="1"/>
  <c r="J14"/>
  <c r="W46" i="33"/>
  <c r="J36" i="37"/>
  <c r="AC36" s="1"/>
  <c r="AB28" i="36"/>
  <c r="S28" i="21"/>
  <c r="W42"/>
  <c r="S46" i="33"/>
  <c r="U28" i="21"/>
  <c r="G521" i="3"/>
  <c r="G513"/>
  <c r="G499"/>
  <c r="G485"/>
  <c r="G565"/>
  <c r="G557"/>
  <c r="G545"/>
  <c r="BL569"/>
  <c r="BL557"/>
  <c r="BL545"/>
  <c r="BL527"/>
  <c r="BL511"/>
  <c r="BL491"/>
  <c r="G16"/>
  <c r="BL559"/>
  <c r="BL551"/>
  <c r="BL533"/>
  <c r="G518"/>
  <c r="G510"/>
  <c r="BL495"/>
  <c r="G18"/>
  <c r="BA565"/>
  <c r="BA559"/>
  <c r="AZ559" s="1"/>
  <c r="BA555"/>
  <c r="BA545"/>
  <c r="AZ545" s="1"/>
  <c r="BA541"/>
  <c r="BA521"/>
  <c r="BA505"/>
  <c r="BA493"/>
  <c r="BA19"/>
  <c r="BA566"/>
  <c r="BA560"/>
  <c r="BA556"/>
  <c r="BA550"/>
  <c r="BA544"/>
  <c r="BA536"/>
  <c r="BA528"/>
  <c r="BA520"/>
  <c r="BA512"/>
  <c r="BA502"/>
  <c r="BA492"/>
  <c r="BA484"/>
  <c r="G566"/>
  <c r="G560"/>
  <c r="G556"/>
  <c r="G550"/>
  <c r="BL543"/>
  <c r="AC542"/>
  <c r="G542" s="1"/>
  <c r="BQ542"/>
  <c r="BQ568"/>
  <c r="BQ566"/>
  <c r="BQ564"/>
  <c r="BL564" s="1"/>
  <c r="BQ562"/>
  <c r="BQ560"/>
  <c r="BL560" s="1"/>
  <c r="AZ560" s="1"/>
  <c r="BQ558"/>
  <c r="BQ556"/>
  <c r="BL556" s="1"/>
  <c r="BQ554"/>
  <c r="BQ552"/>
  <c r="BL552" s="1"/>
  <c r="BQ550"/>
  <c r="BQ548"/>
  <c r="BQ546"/>
  <c r="BQ544"/>
  <c r="BL544" s="1"/>
  <c r="G538"/>
  <c r="G530"/>
  <c r="G522"/>
  <c r="BQ540"/>
  <c r="BQ538"/>
  <c r="BL538" s="1"/>
  <c r="BQ536"/>
  <c r="BQ534"/>
  <c r="BL534" s="1"/>
  <c r="BQ532"/>
  <c r="BQ530"/>
  <c r="BQ528"/>
  <c r="BQ526"/>
  <c r="BL526" s="1"/>
  <c r="BQ524"/>
  <c r="BQ522"/>
  <c r="BQ520"/>
  <c r="BQ518"/>
  <c r="BQ516"/>
  <c r="BQ514"/>
  <c r="BL514" s="1"/>
  <c r="BQ512"/>
  <c r="BQ510"/>
  <c r="BL510" s="1"/>
  <c r="BQ508"/>
  <c r="AC506"/>
  <c r="G506" s="1"/>
  <c r="BQ506"/>
  <c r="G502"/>
  <c r="BQ504"/>
  <c r="BQ502"/>
  <c r="BQ500"/>
  <c r="BL500" s="1"/>
  <c r="BQ498"/>
  <c r="BQ496"/>
  <c r="AC494"/>
  <c r="BQ494"/>
  <c r="G492"/>
  <c r="G484"/>
  <c r="BQ492"/>
  <c r="BL492" s="1"/>
  <c r="BQ490"/>
  <c r="BQ488"/>
  <c r="BL488" s="1"/>
  <c r="BQ486"/>
  <c r="BQ484"/>
  <c r="BL484" s="1"/>
  <c r="BQ482"/>
  <c r="BQ20"/>
  <c r="BL20" s="1"/>
  <c r="BQ18"/>
  <c r="S505" i="31"/>
  <c r="S503"/>
  <c r="S501"/>
  <c r="S499"/>
  <c r="O27"/>
  <c r="O28"/>
  <c r="O26"/>
  <c r="M27"/>
  <c r="M28"/>
  <c r="M26"/>
  <c r="I26"/>
  <c r="I25"/>
  <c r="S25"/>
  <c r="Q26"/>
  <c r="K26"/>
  <c r="I27"/>
  <c r="Q27"/>
  <c r="K27"/>
  <c r="I28"/>
  <c r="Q28"/>
  <c r="K28"/>
  <c r="H25" i="21"/>
  <c r="U25" s="1"/>
  <c r="F25"/>
  <c r="S25" s="1"/>
  <c r="J25"/>
  <c r="AC25" s="1"/>
  <c r="H43" i="33"/>
  <c r="H17" i="37"/>
  <c r="U17" s="1"/>
  <c r="F23"/>
  <c r="S23" s="1"/>
  <c r="F39" i="33"/>
  <c r="AA39" s="1"/>
  <c r="E123"/>
  <c r="F123" s="1"/>
  <c r="G123" s="1"/>
  <c r="H123" s="1"/>
  <c r="I123" s="1"/>
  <c r="J123" s="1"/>
  <c r="K123" s="1"/>
  <c r="L123" s="1"/>
  <c r="M123" s="1"/>
  <c r="F42"/>
  <c r="AA42" s="1"/>
  <c r="F22" i="36"/>
  <c r="S22" s="1"/>
  <c r="F41" i="34"/>
  <c r="S41" s="1"/>
  <c r="H41"/>
  <c r="U41" s="1"/>
  <c r="J41"/>
  <c r="W41" s="1"/>
  <c r="F10" i="35"/>
  <c r="H24"/>
  <c r="AB24" s="1"/>
  <c r="H23" i="37"/>
  <c r="AB23" s="1"/>
  <c r="J32"/>
  <c r="AC32" s="1"/>
  <c r="F36"/>
  <c r="S36" s="1"/>
  <c r="F37"/>
  <c r="AA37" s="1"/>
  <c r="U23"/>
  <c r="H42" i="33"/>
  <c r="U42" s="1"/>
  <c r="J43"/>
  <c r="AC43" s="1"/>
  <c r="G79" i="37"/>
  <c r="J23"/>
  <c r="W23" s="1"/>
  <c r="F17"/>
  <c r="AA17" s="1"/>
  <c r="D3" i="21"/>
  <c r="AC8" i="37"/>
  <c r="AB8" i="34"/>
  <c r="AC37" i="33"/>
  <c r="U19" i="21"/>
  <c r="AC33"/>
  <c r="F43" i="33"/>
  <c r="AA43" s="1"/>
  <c r="AA23" i="37"/>
  <c r="AB44" i="33"/>
  <c r="F37" i="21"/>
  <c r="S37" s="1"/>
  <c r="J37"/>
  <c r="W37" s="1"/>
  <c r="H19" i="34"/>
  <c r="AB19" s="1"/>
  <c r="J10" i="37"/>
  <c r="W10" s="1"/>
  <c r="F36" i="35"/>
  <c r="H9" i="37"/>
  <c r="U9" s="1"/>
  <c r="F11"/>
  <c r="S11" s="1"/>
  <c r="J12"/>
  <c r="AC12" s="1"/>
  <c r="H12"/>
  <c r="AB12" s="1"/>
  <c r="F12"/>
  <c r="AA12" s="1"/>
  <c r="H15"/>
  <c r="F31"/>
  <c r="S31" s="1"/>
  <c r="H31"/>
  <c r="AB31" s="1"/>
  <c r="J15"/>
  <c r="W15" s="1"/>
  <c r="U12"/>
  <c r="AB10"/>
  <c r="J11"/>
  <c r="W11" s="1"/>
  <c r="E90" i="40"/>
  <c r="F21"/>
  <c r="S21" s="1"/>
  <c r="W36"/>
  <c r="U40" i="39"/>
  <c r="F90" i="40"/>
  <c r="J21"/>
  <c r="AC21" s="1"/>
  <c r="G90"/>
  <c r="S27" i="31"/>
  <c r="G483" i="3"/>
  <c r="G515"/>
  <c r="G507"/>
  <c r="G501"/>
  <c r="BA15"/>
  <c r="BL17"/>
  <c r="BL15"/>
  <c r="BA14"/>
  <c r="AZ14" s="1"/>
  <c r="J57" i="39"/>
  <c r="H13" i="40"/>
  <c r="U13" s="1"/>
  <c r="H12" i="48"/>
  <c r="I4" i="4"/>
  <c r="K141" i="21"/>
  <c r="K143"/>
  <c r="K144"/>
  <c r="I59" i="40"/>
  <c r="C59" s="1"/>
  <c r="I60"/>
  <c r="C60" s="1"/>
  <c r="G297" i="3"/>
  <c r="BL298"/>
  <c r="G299"/>
  <c r="BL300"/>
  <c r="BA302"/>
  <c r="BA303"/>
  <c r="AZ303" s="1"/>
  <c r="BL303"/>
  <c r="G304"/>
  <c r="BA305"/>
  <c r="G321"/>
  <c r="BL322"/>
  <c r="G323"/>
  <c r="BL324"/>
  <c r="BA326"/>
  <c r="BA327"/>
  <c r="BL327"/>
  <c r="G328"/>
  <c r="BA329"/>
  <c r="G337"/>
  <c r="BL338"/>
  <c r="G339"/>
  <c r="BL340"/>
  <c r="BA342"/>
  <c r="BA343"/>
  <c r="BL343"/>
  <c r="G344"/>
  <c r="BA345"/>
  <c r="G353"/>
  <c r="BL354"/>
  <c r="G355"/>
  <c r="BL356"/>
  <c r="G357"/>
  <c r="BL358"/>
  <c r="G359"/>
  <c r="BA360"/>
  <c r="BA361"/>
  <c r="AZ361" s="1"/>
  <c r="BL361"/>
  <c r="G362"/>
  <c r="BA363"/>
  <c r="G371"/>
  <c r="BL372"/>
  <c r="G373"/>
  <c r="BL374"/>
  <c r="BA376"/>
  <c r="BA377"/>
  <c r="BL377"/>
  <c r="G378"/>
  <c r="BA379"/>
  <c r="BA114"/>
  <c r="AZ114" s="1"/>
  <c r="BL115"/>
  <c r="G116"/>
  <c r="BA118"/>
  <c r="BL119"/>
  <c r="G120"/>
  <c r="BA122"/>
  <c r="BL123"/>
  <c r="G124"/>
  <c r="BA126"/>
  <c r="BL127"/>
  <c r="G128"/>
  <c r="BA130"/>
  <c r="AZ130" s="1"/>
  <c r="BL131"/>
  <c r="G132"/>
  <c r="BA134"/>
  <c r="AZ134" s="1"/>
  <c r="BL135"/>
  <c r="AZ135" s="1"/>
  <c r="G136"/>
  <c r="BA138"/>
  <c r="AZ138" s="1"/>
  <c r="BL139"/>
  <c r="AZ139" s="1"/>
  <c r="G140"/>
  <c r="BA142"/>
  <c r="BL143"/>
  <c r="G144"/>
  <c r="BA146"/>
  <c r="AZ146" s="1"/>
  <c r="BL147"/>
  <c r="AZ147" s="1"/>
  <c r="G148"/>
  <c r="BA150"/>
  <c r="BL151"/>
  <c r="AZ151" s="1"/>
  <c r="BA153"/>
  <c r="BL154"/>
  <c r="G155"/>
  <c r="BA157"/>
  <c r="BL158"/>
  <c r="G159"/>
  <c r="BA161"/>
  <c r="BL162"/>
  <c r="G163"/>
  <c r="BA165"/>
  <c r="BL166"/>
  <c r="G167"/>
  <c r="BA169"/>
  <c r="BL170"/>
  <c r="G171"/>
  <c r="BA173"/>
  <c r="AZ173" s="1"/>
  <c r="BL174"/>
  <c r="G175"/>
  <c r="BA178"/>
  <c r="BL179"/>
  <c r="G180"/>
  <c r="AZ43"/>
  <c r="BL181"/>
  <c r="AZ181" s="1"/>
  <c r="G182"/>
  <c r="BA184"/>
  <c r="BL185"/>
  <c r="G186"/>
  <c r="BA188"/>
  <c r="BL189"/>
  <c r="AZ189" s="1"/>
  <c r="G190"/>
  <c r="BA192"/>
  <c r="BL193"/>
  <c r="AZ193" s="1"/>
  <c r="G194"/>
  <c r="BA196"/>
  <c r="BL197"/>
  <c r="AZ197" s="1"/>
  <c r="G198"/>
  <c r="BA200"/>
  <c r="BL201"/>
  <c r="AZ201" s="1"/>
  <c r="AZ185"/>
  <c r="G491"/>
  <c r="BA298"/>
  <c r="AZ298" s="1"/>
  <c r="BA299"/>
  <c r="BL299"/>
  <c r="G300"/>
  <c r="G303"/>
  <c r="BL304"/>
  <c r="BA306"/>
  <c r="BA307"/>
  <c r="BL307"/>
  <c r="G308"/>
  <c r="G319"/>
  <c r="BL320"/>
  <c r="BA322"/>
  <c r="AZ322" s="1"/>
  <c r="BA323"/>
  <c r="BL323"/>
  <c r="G324"/>
  <c r="G327"/>
  <c r="BL328"/>
  <c r="BA330"/>
  <c r="BA331"/>
  <c r="BL331"/>
  <c r="AZ331" s="1"/>
  <c r="G332"/>
  <c r="G335"/>
  <c r="BL336"/>
  <c r="BA338"/>
  <c r="AZ338" s="1"/>
  <c r="BA339"/>
  <c r="BL339"/>
  <c r="G340"/>
  <c r="G343"/>
  <c r="BL344"/>
  <c r="BA346"/>
  <c r="BA347"/>
  <c r="BL347"/>
  <c r="G348"/>
  <c r="G351"/>
  <c r="BL352"/>
  <c r="BA354"/>
  <c r="BA355"/>
  <c r="BL355"/>
  <c r="G356"/>
  <c r="AZ143"/>
  <c r="BA358"/>
  <c r="AZ358" s="1"/>
  <c r="BA359"/>
  <c r="BL359"/>
  <c r="G360"/>
  <c r="G361"/>
  <c r="BL362"/>
  <c r="BA364"/>
  <c r="BA365"/>
  <c r="BL365"/>
  <c r="G366"/>
  <c r="G369"/>
  <c r="BL370"/>
  <c r="BA372"/>
  <c r="AZ372" s="1"/>
  <c r="BA373"/>
  <c r="BL373"/>
  <c r="G374"/>
  <c r="G377"/>
  <c r="BL378"/>
  <c r="BA380"/>
  <c r="BA381"/>
  <c r="BL381"/>
  <c r="G382"/>
  <c r="G385"/>
  <c r="AZ179"/>
  <c r="G523"/>
  <c r="BL297"/>
  <c r="G298"/>
  <c r="BA300"/>
  <c r="BL301"/>
  <c r="G302"/>
  <c r="BA304"/>
  <c r="AZ304" s="1"/>
  <c r="BL305"/>
  <c r="AZ305" s="1"/>
  <c r="G306"/>
  <c r="BA308"/>
  <c r="BL309"/>
  <c r="G310"/>
  <c r="BA310"/>
  <c r="BL311"/>
  <c r="G312"/>
  <c r="BA312"/>
  <c r="BL313"/>
  <c r="G314"/>
  <c r="BA314"/>
  <c r="BL315"/>
  <c r="G316"/>
  <c r="BA316"/>
  <c r="BL317"/>
  <c r="G318"/>
  <c r="BA320"/>
  <c r="AZ320" s="1"/>
  <c r="BL321"/>
  <c r="G322"/>
  <c r="BA324"/>
  <c r="AZ324" s="1"/>
  <c r="BL325"/>
  <c r="G326"/>
  <c r="BA328"/>
  <c r="AZ328" s="1"/>
  <c r="BL329"/>
  <c r="G330"/>
  <c r="BA332"/>
  <c r="BL333"/>
  <c r="G334"/>
  <c r="BA336"/>
  <c r="AZ336" s="1"/>
  <c r="BL337"/>
  <c r="G338"/>
  <c r="BA340"/>
  <c r="BL341"/>
  <c r="G342"/>
  <c r="BA344"/>
  <c r="AZ344" s="1"/>
  <c r="BL345"/>
  <c r="AZ345" s="1"/>
  <c r="G346"/>
  <c r="BA348"/>
  <c r="BL349"/>
  <c r="G350"/>
  <c r="BA352"/>
  <c r="AZ352" s="1"/>
  <c r="BL353"/>
  <c r="G354"/>
  <c r="BA356"/>
  <c r="AZ356" s="1"/>
  <c r="BL357"/>
  <c r="G358"/>
  <c r="BA362"/>
  <c r="BL363"/>
  <c r="G364"/>
  <c r="BA366"/>
  <c r="BL367"/>
  <c r="AZ363"/>
  <c r="G368"/>
  <c r="BA370"/>
  <c r="AZ370" s="1"/>
  <c r="BL371"/>
  <c r="G372"/>
  <c r="BA374"/>
  <c r="AZ374"/>
  <c r="BL375"/>
  <c r="G376"/>
  <c r="BA378"/>
  <c r="AZ378"/>
  <c r="BL379"/>
  <c r="AZ379"/>
  <c r="G380"/>
  <c r="BA382"/>
  <c r="BL383"/>
  <c r="G384"/>
  <c r="AZ253"/>
  <c r="AZ257"/>
  <c r="AZ347"/>
  <c r="H7" i="48"/>
  <c r="H113" i="46"/>
  <c r="H17"/>
  <c r="F33"/>
  <c r="F35"/>
  <c r="F37"/>
  <c r="H16" i="48"/>
  <c r="H9"/>
  <c r="H8"/>
  <c r="C12" i="46"/>
  <c r="AB16" i="35"/>
  <c r="AA43" i="21"/>
  <c r="U43"/>
  <c r="AA13" i="40"/>
  <c r="E78"/>
  <c r="F78" s="1"/>
  <c r="G78" s="1"/>
  <c r="H78" s="1"/>
  <c r="I78" s="1"/>
  <c r="J78" s="1"/>
  <c r="K78" s="1"/>
  <c r="L78" s="1"/>
  <c r="M78" s="1"/>
  <c r="R16" i="4"/>
  <c r="P16"/>
  <c r="D3" i="35"/>
  <c r="G4" i="4"/>
  <c r="J16" i="35"/>
  <c r="W16" s="1"/>
  <c r="U42" i="21"/>
  <c r="AC26" i="36"/>
  <c r="AZ354" i="3"/>
  <c r="H13" i="39"/>
  <c r="AB13" s="1"/>
  <c r="F13"/>
  <c r="J13"/>
  <c r="AC13" s="1"/>
  <c r="H11" i="37"/>
  <c r="AB11" s="1"/>
  <c r="W37"/>
  <c r="AA30" i="33"/>
  <c r="AA36" i="37"/>
  <c r="S42" i="33"/>
  <c r="U32"/>
  <c r="AB17" i="37"/>
  <c r="AC11" i="36"/>
  <c r="AC10"/>
  <c r="AB35" i="35"/>
  <c r="S25"/>
  <c r="W44" i="33"/>
  <c r="AC30"/>
  <c r="W30"/>
  <c r="W32" i="36"/>
  <c r="U28" i="33"/>
  <c r="AB28"/>
  <c r="J33" i="34"/>
  <c r="AC33" s="1"/>
  <c r="J40"/>
  <c r="W40" s="1"/>
  <c r="F16" i="35"/>
  <c r="AA16" s="1"/>
  <c r="W42" i="33"/>
  <c r="S30" i="36"/>
  <c r="H16"/>
  <c r="AB16" s="1"/>
  <c r="H35" i="37"/>
  <c r="AB35" s="1"/>
  <c r="S26" i="21"/>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AB28" i="35"/>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U25" i="35"/>
  <c r="U31" i="34"/>
  <c r="W40" i="37"/>
  <c r="W27" i="33"/>
  <c r="AC45" i="21"/>
  <c r="S28" i="33"/>
  <c r="S14" i="21"/>
  <c r="AB29" i="35"/>
  <c r="U29"/>
  <c r="AC19" i="33"/>
  <c r="W19"/>
  <c r="AC34" i="37"/>
  <c r="S35"/>
  <c r="AA35"/>
  <c r="AB10" i="35"/>
  <c r="AA32" i="21"/>
  <c r="S32"/>
  <c r="U38"/>
  <c r="AB34"/>
  <c r="BL571" i="3"/>
  <c r="BA57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H33"/>
  <c r="U33" s="1"/>
  <c r="F33"/>
  <c r="AA33" s="1"/>
  <c r="H27"/>
  <c r="AB27" s="1"/>
  <c r="AA31"/>
  <c r="AC26" i="37"/>
  <c r="AB29"/>
  <c r="AA30"/>
  <c r="S30"/>
  <c r="AC30"/>
  <c r="AC31"/>
  <c r="W31"/>
  <c r="AB14"/>
  <c r="F17" i="39"/>
  <c r="AA17" s="1"/>
  <c r="H17"/>
  <c r="U17" s="1"/>
  <c r="J17"/>
  <c r="W17" s="1"/>
  <c r="F21"/>
  <c r="S21" s="1"/>
  <c r="H21"/>
  <c r="U21" s="1"/>
  <c r="J21"/>
  <c r="W21" s="1"/>
  <c r="F33"/>
  <c r="S33" s="1"/>
  <c r="H33"/>
  <c r="U33" s="1"/>
  <c r="J33"/>
  <c r="W33" s="1"/>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S39" s="1"/>
  <c r="H39"/>
  <c r="AB39" s="1"/>
  <c r="J39"/>
  <c r="W39" s="1"/>
  <c r="J29" i="35"/>
  <c r="AC29" s="1"/>
  <c r="F29"/>
  <c r="S29" s="1"/>
  <c r="W30" i="36"/>
  <c r="AC30"/>
  <c r="F37" i="39"/>
  <c r="S37" s="1"/>
  <c r="H37"/>
  <c r="U37" s="1"/>
  <c r="J37"/>
  <c r="W37" s="1"/>
  <c r="BL568" i="3"/>
  <c r="BA568"/>
  <c r="BL567"/>
  <c r="BA567"/>
  <c r="BL566"/>
  <c r="AZ566" s="1"/>
  <c r="BL565"/>
  <c r="AZ565" s="1"/>
  <c r="BA564"/>
  <c r="BA563"/>
  <c r="BL554"/>
  <c r="BA553"/>
  <c r="BA552"/>
  <c r="BL549"/>
  <c r="BA549"/>
  <c r="BL548"/>
  <c r="BA548"/>
  <c r="BL547"/>
  <c r="BA547"/>
  <c r="BL539"/>
  <c r="BA539"/>
  <c r="BA538"/>
  <c r="AZ538" s="1"/>
  <c r="BL537"/>
  <c r="BA537"/>
  <c r="BL536"/>
  <c r="AZ536" s="1"/>
  <c r="BA535"/>
  <c r="BA534"/>
  <c r="BA533"/>
  <c r="AZ533" s="1"/>
  <c r="BL531"/>
  <c r="BL530"/>
  <c r="BA530"/>
  <c r="BL529"/>
  <c r="BA529"/>
  <c r="BL528"/>
  <c r="AZ528" s="1"/>
  <c r="BA527"/>
  <c r="AZ527" s="1"/>
  <c r="BA526"/>
  <c r="BA525"/>
  <c r="BL523"/>
  <c r="BA523"/>
  <c r="BL522"/>
  <c r="BA522"/>
  <c r="BL521"/>
  <c r="AZ521" s="1"/>
  <c r="BA519"/>
  <c r="BL518"/>
  <c r="BA518"/>
  <c r="BL517"/>
  <c r="BA517"/>
  <c r="BL515"/>
  <c r="BA515"/>
  <c r="BA514"/>
  <c r="AZ514" s="1"/>
  <c r="BL513"/>
  <c r="BA513"/>
  <c r="BL512"/>
  <c r="AZ512" s="1"/>
  <c r="BA511"/>
  <c r="AZ511" s="1"/>
  <c r="BA510"/>
  <c r="BL509"/>
  <c r="BL507"/>
  <c r="BA507"/>
  <c r="BL506"/>
  <c r="BA506"/>
  <c r="AZ506" s="1"/>
  <c r="BL505"/>
  <c r="AZ505" s="1"/>
  <c r="BL504"/>
  <c r="BA504"/>
  <c r="BA503"/>
  <c r="BA500"/>
  <c r="BL499"/>
  <c r="BA499"/>
  <c r="BL498"/>
  <c r="BL497"/>
  <c r="BA497"/>
  <c r="BL496"/>
  <c r="BA496"/>
  <c r="BA495"/>
  <c r="AZ495" s="1"/>
  <c r="BL494"/>
  <c r="BA494"/>
  <c r="G494"/>
  <c r="BA491"/>
  <c r="AZ491" s="1"/>
  <c r="BL490"/>
  <c r="BA490"/>
  <c r="BL489"/>
  <c r="BA489"/>
  <c r="BL487"/>
  <c r="BL486"/>
  <c r="BA486"/>
  <c r="BA485"/>
  <c r="BA483"/>
  <c r="BA482"/>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E78"/>
  <c r="F15" s="1"/>
  <c r="S15" s="1"/>
  <c r="AC28" i="35"/>
  <c r="W28"/>
  <c r="J20"/>
  <c r="AC20" s="1"/>
  <c r="E72"/>
  <c r="F72" s="1"/>
  <c r="G72" s="1"/>
  <c r="H22"/>
  <c r="AB22" s="1"/>
  <c r="H23"/>
  <c r="F23"/>
  <c r="AA23" s="1"/>
  <c r="U31" i="36"/>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AB42" s="1"/>
  <c r="H40"/>
  <c r="U40" s="1"/>
  <c r="H34"/>
  <c r="U34" s="1"/>
  <c r="B41" i="1"/>
  <c r="F27" i="43" s="1"/>
  <c r="J42" i="40"/>
  <c r="AC42" s="1"/>
  <c r="J40"/>
  <c r="AC40" s="1"/>
  <c r="J34"/>
  <c r="AC34" s="1"/>
  <c r="H16"/>
  <c r="AB16" s="1"/>
  <c r="H14"/>
  <c r="U14" s="1"/>
  <c r="F32"/>
  <c r="AA32" s="1"/>
  <c r="M1" i="46"/>
  <c r="M6"/>
  <c r="M10"/>
  <c r="N2"/>
  <c r="N5"/>
  <c r="F47"/>
  <c r="H49" s="1"/>
  <c r="N7"/>
  <c r="AZ255" i="3"/>
  <c r="AZ260"/>
  <c r="AZ137"/>
  <c r="M7" i="46"/>
  <c r="M11"/>
  <c r="N3"/>
  <c r="N6"/>
  <c r="N10"/>
  <c r="AZ167" i="3"/>
  <c r="AZ40"/>
  <c r="J13" i="40"/>
  <c r="W13" s="1"/>
  <c r="F66" i="9"/>
  <c r="P72" s="1"/>
  <c r="S33" i="40"/>
  <c r="AC47" i="39"/>
  <c r="AB25"/>
  <c r="AC41" i="40"/>
  <c r="U41"/>
  <c r="J23"/>
  <c r="AC23" s="1"/>
  <c r="F23"/>
  <c r="S23" s="1"/>
  <c r="W15"/>
  <c r="S23" i="39"/>
  <c r="W14"/>
  <c r="U23" i="35"/>
  <c r="AB23"/>
  <c r="H20"/>
  <c r="U20" s="1"/>
  <c r="F20"/>
  <c r="S20" s="1"/>
  <c r="F78" i="34"/>
  <c r="G78" s="1"/>
  <c r="H41" i="33"/>
  <c r="U41" s="1"/>
  <c r="F121"/>
  <c r="G121" s="1"/>
  <c r="H121" s="1"/>
  <c r="I121" s="1"/>
  <c r="J121" s="1"/>
  <c r="K121" s="1"/>
  <c r="L121" s="1"/>
  <c r="M121" s="1"/>
  <c r="F30" i="40"/>
  <c r="AA30" s="1"/>
  <c r="H100"/>
  <c r="I100" s="1"/>
  <c r="J100" s="1"/>
  <c r="K100" s="1"/>
  <c r="L100" s="1"/>
  <c r="M100" s="1"/>
  <c r="AZ504" i="3"/>
  <c r="AZ537"/>
  <c r="AB37" i="39"/>
  <c r="U39"/>
  <c r="J29"/>
  <c r="AC29" s="1"/>
  <c r="AB21"/>
  <c r="AB17"/>
  <c r="AB33" i="36"/>
  <c r="AA11"/>
  <c r="AA14" i="35"/>
  <c r="S14"/>
  <c r="U46" i="34"/>
  <c r="AC30"/>
  <c r="AA14"/>
  <c r="W12"/>
  <c r="U29" i="33"/>
  <c r="AC13"/>
  <c r="U17" i="34"/>
  <c r="AA11"/>
  <c r="W32" i="33"/>
  <c r="H15"/>
  <c r="U15" s="1"/>
  <c r="AA11"/>
  <c r="AA40" i="21"/>
  <c r="S13" i="39"/>
  <c r="AA13"/>
  <c r="U16" i="40"/>
  <c r="AB34"/>
  <c r="U42"/>
  <c r="W32"/>
  <c r="H25"/>
  <c r="AB25" s="1"/>
  <c r="F94"/>
  <c r="G94" s="1"/>
  <c r="W15" i="39"/>
  <c r="J36" i="33"/>
  <c r="W36" s="1"/>
  <c r="AB23" i="40"/>
  <c r="H23" i="39"/>
  <c r="AB23" s="1"/>
  <c r="J23"/>
  <c r="AC23" s="1"/>
  <c r="F97"/>
  <c r="G97" s="1"/>
  <c r="S16"/>
  <c r="F106" i="33"/>
  <c r="G106" s="1"/>
  <c r="H106" s="1"/>
  <c r="I106" s="1"/>
  <c r="J106" s="1"/>
  <c r="K106" s="1"/>
  <c r="L106" s="1"/>
  <c r="M106" s="1"/>
  <c r="J34"/>
  <c r="AC34" s="1"/>
  <c r="U30" i="40"/>
  <c r="W29" i="35"/>
  <c r="AC39" i="39"/>
  <c r="AA39"/>
  <c r="U34"/>
  <c r="AB46"/>
  <c r="AC33"/>
  <c r="AA33"/>
  <c r="S17"/>
  <c r="F80" i="35"/>
  <c r="G80" s="1"/>
  <c r="H80" s="1"/>
  <c r="I80" s="1"/>
  <c r="J80" s="1"/>
  <c r="K80" s="1"/>
  <c r="L80" s="1"/>
  <c r="M80" s="1"/>
  <c r="F90" i="34"/>
  <c r="G90" s="1"/>
  <c r="H90" s="1"/>
  <c r="I90" s="1"/>
  <c r="J90" s="1"/>
  <c r="K90" s="1"/>
  <c r="L90" s="1"/>
  <c r="M90" s="1"/>
  <c r="F27"/>
  <c r="S27" s="1"/>
  <c r="W43" i="39"/>
  <c r="AA19"/>
  <c r="F32" i="37"/>
  <c r="S32" s="1"/>
  <c r="AB11" i="35"/>
  <c r="U32" i="34"/>
  <c r="AC14"/>
  <c r="AB13" i="33"/>
  <c r="F17" i="34"/>
  <c r="AA17" s="1"/>
  <c r="J17"/>
  <c r="AC17" s="1"/>
  <c r="H11"/>
  <c r="AB11" s="1"/>
  <c r="J35" i="33"/>
  <c r="W35" s="1"/>
  <c r="AC15"/>
  <c r="H11"/>
  <c r="U11" s="1"/>
  <c r="H10"/>
  <c r="U10" s="1"/>
  <c r="I66"/>
  <c r="J10"/>
  <c r="AC10" s="1"/>
  <c r="U11" i="37"/>
  <c r="U13" i="39"/>
  <c r="AC16" i="35"/>
  <c r="J11" i="34"/>
  <c r="W11" s="1"/>
  <c r="F25" i="40"/>
  <c r="AA25" s="1"/>
  <c r="J11" i="33"/>
  <c r="W11" s="1"/>
  <c r="H33" i="37"/>
  <c r="AB33" s="1"/>
  <c r="AB20" i="35"/>
  <c r="W23" i="40"/>
  <c r="D73" i="9"/>
  <c r="N73" s="1"/>
  <c r="AP11" i="1"/>
  <c r="J51" i="15"/>
  <c r="B11" i="1"/>
  <c r="E11" s="1"/>
  <c r="K11"/>
  <c r="M11" s="1"/>
  <c r="B9"/>
  <c r="E9" s="1"/>
  <c r="K9"/>
  <c r="M9" s="1"/>
  <c r="B7"/>
  <c r="E7" s="1"/>
  <c r="K7"/>
  <c r="M7" s="1"/>
  <c r="O7" s="1"/>
  <c r="P7" s="1"/>
  <c r="C20" i="43"/>
  <c r="E2" i="65"/>
  <c r="H15" i="34" l="1"/>
  <c r="AB15" s="1"/>
  <c r="J15"/>
  <c r="W15" s="1"/>
  <c r="S45"/>
  <c r="AZ485" i="3"/>
  <c r="AZ486"/>
  <c r="AZ489"/>
  <c r="AZ490"/>
  <c r="AZ496"/>
  <c r="AZ497"/>
  <c r="AZ518"/>
  <c r="AZ519"/>
  <c r="AZ523"/>
  <c r="AZ525"/>
  <c r="AZ529"/>
  <c r="AZ530"/>
  <c r="AZ539"/>
  <c r="AZ547"/>
  <c r="AZ548"/>
  <c r="AZ549"/>
  <c r="AZ554"/>
  <c r="AZ362"/>
  <c r="AZ373"/>
  <c r="AZ359"/>
  <c r="AZ339"/>
  <c r="AZ20"/>
  <c r="AZ543"/>
  <c r="BA532"/>
  <c r="BA531"/>
  <c r="AZ531" s="1"/>
  <c r="BL525"/>
  <c r="BA524"/>
  <c r="BL519"/>
  <c r="BA516"/>
  <c r="BA509"/>
  <c r="BA508"/>
  <c r="BL503"/>
  <c r="AZ503" s="1"/>
  <c r="BL501"/>
  <c r="BA501"/>
  <c r="BA498"/>
  <c r="AZ498" s="1"/>
  <c r="BL493"/>
  <c r="BA488"/>
  <c r="AZ488" s="1"/>
  <c r="BA487"/>
  <c r="F72" i="9"/>
  <c r="F34" i="44"/>
  <c r="AZ487" i="3"/>
  <c r="AZ509"/>
  <c r="AZ553"/>
  <c r="AZ330"/>
  <c r="AZ300"/>
  <c r="AZ541"/>
  <c r="BH5"/>
  <c r="F9" i="33"/>
  <c r="AA9" s="1"/>
  <c r="J9" i="36"/>
  <c r="AC9" s="1"/>
  <c r="G569" i="3"/>
  <c r="G567"/>
  <c r="G563"/>
  <c r="G562"/>
  <c r="G561"/>
  <c r="G559"/>
  <c r="G558"/>
  <c r="BL555"/>
  <c r="AZ555" s="1"/>
  <c r="BA554"/>
  <c r="G554"/>
  <c r="BL553"/>
  <c r="BA551"/>
  <c r="G549"/>
  <c r="BA546"/>
  <c r="G546"/>
  <c r="G544"/>
  <c r="BA543"/>
  <c r="BA542"/>
  <c r="BL541"/>
  <c r="BA540"/>
  <c r="G539"/>
  <c r="G537"/>
  <c r="BL535"/>
  <c r="AZ535" s="1"/>
  <c r="G531"/>
  <c r="G529"/>
  <c r="G487"/>
  <c r="BL485"/>
  <c r="BL483"/>
  <c r="AZ483" s="1"/>
  <c r="BA20"/>
  <c r="G20"/>
  <c r="G19"/>
  <c r="G17"/>
  <c r="BL389"/>
  <c r="BL391"/>
  <c r="G396"/>
  <c r="BA397"/>
  <c r="BA399"/>
  <c r="BA403"/>
  <c r="G406"/>
  <c r="BL407"/>
  <c r="G412"/>
  <c r="BA413"/>
  <c r="G414"/>
  <c r="BA415"/>
  <c r="G416"/>
  <c r="BA417"/>
  <c r="AZ417" s="1"/>
  <c r="BL417"/>
  <c r="BL419"/>
  <c r="G420"/>
  <c r="BL421"/>
  <c r="BL423"/>
  <c r="G428"/>
  <c r="BA433"/>
  <c r="BL435"/>
  <c r="BA437"/>
  <c r="BA439"/>
  <c r="G444"/>
  <c r="G448"/>
  <c r="BL449"/>
  <c r="BA451"/>
  <c r="G452"/>
  <c r="BL453"/>
  <c r="BL455"/>
  <c r="BA457"/>
  <c r="G458"/>
  <c r="BA459"/>
  <c r="G460"/>
  <c r="BL461"/>
  <c r="G462"/>
  <c r="BA463"/>
  <c r="G464"/>
  <c r="BA465"/>
  <c r="BL465"/>
  <c r="BA467"/>
  <c r="BL467"/>
  <c r="BA468"/>
  <c r="AZ468" s="1"/>
  <c r="BA469"/>
  <c r="AZ469" s="1"/>
  <c r="BA471"/>
  <c r="BL471"/>
  <c r="BA472"/>
  <c r="AZ472" s="1"/>
  <c r="BA474"/>
  <c r="BL474"/>
  <c r="G479"/>
  <c r="BL306"/>
  <c r="AZ306" s="1"/>
  <c r="G311"/>
  <c r="BL312"/>
  <c r="AZ312" s="1"/>
  <c r="G315"/>
  <c r="BL316"/>
  <c r="AZ316" s="1"/>
  <c r="G317"/>
  <c r="BA319"/>
  <c r="AZ319" s="1"/>
  <c r="G325"/>
  <c r="BL326"/>
  <c r="AZ326" s="1"/>
  <c r="G329"/>
  <c r="BL335"/>
  <c r="BA337"/>
  <c r="AZ337" s="1"/>
  <c r="BA341"/>
  <c r="AZ341" s="1"/>
  <c r="BL351"/>
  <c r="G370"/>
  <c r="BA385"/>
  <c r="BA387"/>
  <c r="AZ387" s="1"/>
  <c r="BL387"/>
  <c r="BA388"/>
  <c r="G205"/>
  <c r="BL206"/>
  <c r="BA208"/>
  <c r="G209"/>
  <c r="BL210"/>
  <c r="G213"/>
  <c r="G217"/>
  <c r="BA220"/>
  <c r="BL222"/>
  <c r="BA224"/>
  <c r="BL226"/>
  <c r="G229"/>
  <c r="G233"/>
  <c r="G292"/>
  <c r="G114"/>
  <c r="G34"/>
  <c r="BL35"/>
  <c r="BL53"/>
  <c r="G54"/>
  <c r="BA55"/>
  <c r="G56"/>
  <c r="BL57"/>
  <c r="BA59"/>
  <c r="G60"/>
  <c r="BA61"/>
  <c r="BL61"/>
  <c r="BA62"/>
  <c r="AZ62" s="1"/>
  <c r="BA63"/>
  <c r="AZ63" s="1"/>
  <c r="BL65"/>
  <c r="G66"/>
  <c r="BA67"/>
  <c r="BL67"/>
  <c r="BA68"/>
  <c r="AZ68" s="1"/>
  <c r="BA70"/>
  <c r="AZ70" s="1"/>
  <c r="BL70"/>
  <c r="BA72"/>
  <c r="AZ72" s="1"/>
  <c r="BA74"/>
  <c r="BL74"/>
  <c r="BA75"/>
  <c r="AZ75" s="1"/>
  <c r="BL77"/>
  <c r="G78"/>
  <c r="BL79"/>
  <c r="G80"/>
  <c r="BL81"/>
  <c r="BA83"/>
  <c r="G84"/>
  <c r="G88"/>
  <c r="BA89"/>
  <c r="BL89"/>
  <c r="BA91"/>
  <c r="AZ91" s="1"/>
  <c r="BL91"/>
  <c r="BA92"/>
  <c r="AZ92" s="1"/>
  <c r="BA94"/>
  <c r="BL94"/>
  <c r="BA95"/>
  <c r="AZ95" s="1"/>
  <c r="BL97"/>
  <c r="G98"/>
  <c r="BL99"/>
  <c r="G100"/>
  <c r="BL101"/>
  <c r="BA103"/>
  <c r="G104"/>
  <c r="BA105"/>
  <c r="BL105"/>
  <c r="BA107"/>
  <c r="BL107"/>
  <c r="BA108"/>
  <c r="AZ108" s="1"/>
  <c r="BA110"/>
  <c r="AZ110" s="1"/>
  <c r="BL110"/>
  <c r="BA111"/>
  <c r="AZ111" s="1"/>
  <c r="BA112"/>
  <c r="AZ112" s="1"/>
  <c r="W14" i="37"/>
  <c r="AC14"/>
  <c r="AC31" i="34"/>
  <c r="W31"/>
  <c r="W29" i="37"/>
  <c r="AC29"/>
  <c r="W29" i="33"/>
  <c r="AC29"/>
  <c r="AB46" i="21"/>
  <c r="U46"/>
  <c r="W14"/>
  <c r="AC14"/>
  <c r="S36"/>
  <c r="AA36"/>
  <c r="BA572" i="3"/>
  <c r="J13" i="21"/>
  <c r="AC13" s="1"/>
  <c r="F13"/>
  <c r="AA13" s="1"/>
  <c r="H29"/>
  <c r="U29" s="1"/>
  <c r="J29"/>
  <c r="AC29" s="1"/>
  <c r="J31"/>
  <c r="AC31" s="1"/>
  <c r="F31"/>
  <c r="S31" s="1"/>
  <c r="AC33" i="33"/>
  <c r="W33"/>
  <c r="J9" i="37"/>
  <c r="W9" s="1"/>
  <c r="F9"/>
  <c r="S9" s="1"/>
  <c r="H13"/>
  <c r="AB13" s="1"/>
  <c r="J13"/>
  <c r="AC13" s="1"/>
  <c r="H27"/>
  <c r="F27"/>
  <c r="J27"/>
  <c r="H38"/>
  <c r="AB38" s="1"/>
  <c r="F38"/>
  <c r="S38" s="1"/>
  <c r="H25"/>
  <c r="U25" s="1"/>
  <c r="J25"/>
  <c r="AC31" i="35"/>
  <c r="W31"/>
  <c r="BA569" i="3"/>
  <c r="BL563"/>
  <c r="BA562"/>
  <c r="BL561"/>
  <c r="BA561"/>
  <c r="BA558"/>
  <c r="BA557"/>
  <c r="AC36" i="33"/>
  <c r="S43" i="39"/>
  <c r="W14" i="35"/>
  <c r="U11" i="36"/>
  <c r="AB44" i="39"/>
  <c r="AB29"/>
  <c r="AA41" i="33"/>
  <c r="U27" i="39"/>
  <c r="S41" i="40"/>
  <c r="AC16"/>
  <c r="W34"/>
  <c r="U19" i="39"/>
  <c r="AA29" i="35"/>
  <c r="S47" i="39"/>
  <c r="AZ513" i="3"/>
  <c r="AZ563"/>
  <c r="AB12" i="21"/>
  <c r="S24" i="36"/>
  <c r="AA45" i="33"/>
  <c r="W25" i="35"/>
  <c r="U15" i="37"/>
  <c r="AB15"/>
  <c r="S36" i="35"/>
  <c r="AA36"/>
  <c r="S39" i="33"/>
  <c r="AA10" i="35"/>
  <c r="S10"/>
  <c r="U43" i="33"/>
  <c r="AB43"/>
  <c r="AZ556" i="3"/>
  <c r="S19" i="21"/>
  <c r="S45"/>
  <c r="H45"/>
  <c r="U45" s="1"/>
  <c r="H31"/>
  <c r="J27"/>
  <c r="W27" s="1"/>
  <c r="S10" i="36"/>
  <c r="C23" i="39"/>
  <c r="AB39" i="37"/>
  <c r="U39"/>
  <c r="U38" i="33"/>
  <c r="W22" i="36"/>
  <c r="J26" i="33"/>
  <c r="AC26" s="1"/>
  <c r="F26"/>
  <c r="AA26" s="1"/>
  <c r="H26"/>
  <c r="U26" s="1"/>
  <c r="AC8" i="34"/>
  <c r="W8"/>
  <c r="F28"/>
  <c r="H28"/>
  <c r="AB28" s="1"/>
  <c r="E102"/>
  <c r="F102" s="1"/>
  <c r="G102" s="1"/>
  <c r="H102" s="1"/>
  <c r="I102" s="1"/>
  <c r="J102" s="1"/>
  <c r="K102" s="1"/>
  <c r="L102" s="1"/>
  <c r="M102" s="1"/>
  <c r="F33"/>
  <c r="S33" s="1"/>
  <c r="E116"/>
  <c r="F116" s="1"/>
  <c r="G116" s="1"/>
  <c r="H116" s="1"/>
  <c r="I116" s="1"/>
  <c r="J116" s="1"/>
  <c r="K116" s="1"/>
  <c r="L116" s="1"/>
  <c r="M116" s="1"/>
  <c r="F39"/>
  <c r="E126"/>
  <c r="F126" s="1"/>
  <c r="G126" s="1"/>
  <c r="J44"/>
  <c r="AC44" s="1"/>
  <c r="S13" i="33"/>
  <c r="AA13"/>
  <c r="F31"/>
  <c r="J31"/>
  <c r="AC31" s="1"/>
  <c r="H45"/>
  <c r="J45"/>
  <c r="H12" i="35"/>
  <c r="F12"/>
  <c r="J24"/>
  <c r="F24"/>
  <c r="AA24" s="1"/>
  <c r="H34"/>
  <c r="J34"/>
  <c r="AC34" s="1"/>
  <c r="U8" i="36"/>
  <c r="AB8"/>
  <c r="J12"/>
  <c r="F12"/>
  <c r="S12" s="1"/>
  <c r="H23"/>
  <c r="AB23" s="1"/>
  <c r="J23"/>
  <c r="H34"/>
  <c r="F34"/>
  <c r="S34" s="1"/>
  <c r="W33"/>
  <c r="AC33"/>
  <c r="BT5" i="3"/>
  <c r="AZ348"/>
  <c r="AZ340"/>
  <c r="AZ329"/>
  <c r="AZ323"/>
  <c r="AZ299"/>
  <c r="BL482"/>
  <c r="AZ482" s="1"/>
  <c r="BL502"/>
  <c r="BL508"/>
  <c r="AZ508" s="1"/>
  <c r="BL516"/>
  <c r="AZ516" s="1"/>
  <c r="BL520"/>
  <c r="BL524"/>
  <c r="AZ524" s="1"/>
  <c r="BL532"/>
  <c r="AZ532" s="1"/>
  <c r="BL540"/>
  <c r="AZ540" s="1"/>
  <c r="BL546"/>
  <c r="AZ546" s="1"/>
  <c r="BL550"/>
  <c r="AZ550" s="1"/>
  <c r="BL558"/>
  <c r="AZ558" s="1"/>
  <c r="BL562"/>
  <c r="BL542"/>
  <c r="AZ542" s="1"/>
  <c r="BL13"/>
  <c r="G543"/>
  <c r="G536"/>
  <c r="G532"/>
  <c r="G496"/>
  <c r="G489"/>
  <c r="BA389"/>
  <c r="AZ389" s="1"/>
  <c r="BA390"/>
  <c r="AZ390" s="1"/>
  <c r="BA391"/>
  <c r="AZ391" s="1"/>
  <c r="BL393"/>
  <c r="G394"/>
  <c r="BA395"/>
  <c r="BL395"/>
  <c r="BA396"/>
  <c r="AZ396" s="1"/>
  <c r="BA398"/>
  <c r="BL398"/>
  <c r="BL400"/>
  <c r="G401"/>
  <c r="BA402"/>
  <c r="AZ402" s="1"/>
  <c r="BL402"/>
  <c r="BL404"/>
  <c r="G405"/>
  <c r="BL406"/>
  <c r="BA408"/>
  <c r="G409"/>
  <c r="BL410"/>
  <c r="G411"/>
  <c r="BL412"/>
  <c r="G415"/>
  <c r="G421"/>
  <c r="BL422"/>
  <c r="BA424"/>
  <c r="G425"/>
  <c r="BL426"/>
  <c r="G427"/>
  <c r="BA428"/>
  <c r="G429"/>
  <c r="BL430"/>
  <c r="G431"/>
  <c r="BA432"/>
  <c r="BL432"/>
  <c r="BA434"/>
  <c r="BL434"/>
  <c r="BA435"/>
  <c r="AZ435" s="1"/>
  <c r="BA436"/>
  <c r="AZ436" s="1"/>
  <c r="BA438"/>
  <c r="BL438"/>
  <c r="BL440"/>
  <c r="G441"/>
  <c r="BL442"/>
  <c r="G443"/>
  <c r="BA444"/>
  <c r="G445"/>
  <c r="BL446"/>
  <c r="G447"/>
  <c r="BL448"/>
  <c r="BL450"/>
  <c r="G453"/>
  <c r="BL454"/>
  <c r="BL456"/>
  <c r="G459"/>
  <c r="G463"/>
  <c r="BL476"/>
  <c r="G477"/>
  <c r="BA478"/>
  <c r="AZ478" s="1"/>
  <c r="BL478"/>
  <c r="BL480"/>
  <c r="G301"/>
  <c r="BL302"/>
  <c r="AZ302" s="1"/>
  <c r="G305"/>
  <c r="BA311"/>
  <c r="AZ311" s="1"/>
  <c r="BA334"/>
  <c r="BL346"/>
  <c r="AZ346" s="1"/>
  <c r="BL348"/>
  <c r="G349"/>
  <c r="BA351"/>
  <c r="AZ351" s="1"/>
  <c r="G363"/>
  <c r="BL364"/>
  <c r="AZ364" s="1"/>
  <c r="BA367"/>
  <c r="AZ367" s="1"/>
  <c r="BA369"/>
  <c r="BL369"/>
  <c r="G375"/>
  <c r="BL376"/>
  <c r="AZ376" s="1"/>
  <c r="BA383"/>
  <c r="AZ383" s="1"/>
  <c r="BL386"/>
  <c r="G387"/>
  <c r="G206"/>
  <c r="BL207"/>
  <c r="G210"/>
  <c r="BA211"/>
  <c r="G212"/>
  <c r="BA213"/>
  <c r="G214"/>
  <c r="BL215"/>
  <c r="G216"/>
  <c r="BA217"/>
  <c r="G218"/>
  <c r="BA219"/>
  <c r="BL219"/>
  <c r="BA221"/>
  <c r="BL221"/>
  <c r="BA222"/>
  <c r="AZ222" s="1"/>
  <c r="BA223"/>
  <c r="AZ223" s="1"/>
  <c r="BA225"/>
  <c r="BL225"/>
  <c r="BA226"/>
  <c r="AZ226" s="1"/>
  <c r="BA228"/>
  <c r="AZ228" s="1"/>
  <c r="BL228"/>
  <c r="BL230"/>
  <c r="G231"/>
  <c r="BA232"/>
  <c r="AZ232" s="1"/>
  <c r="BL232"/>
  <c r="BL234"/>
  <c r="G235"/>
  <c r="BA236"/>
  <c r="G237"/>
  <c r="BL238"/>
  <c r="BA240"/>
  <c r="G241"/>
  <c r="BL242"/>
  <c r="G245"/>
  <c r="G249"/>
  <c r="G268"/>
  <c r="G272"/>
  <c r="BL273"/>
  <c r="BA275"/>
  <c r="G276"/>
  <c r="BL277"/>
  <c r="BA279"/>
  <c r="G280"/>
  <c r="BL281"/>
  <c r="G282"/>
  <c r="BA283"/>
  <c r="AZ283" s="1"/>
  <c r="BL283"/>
  <c r="G284"/>
  <c r="BL285"/>
  <c r="BA287"/>
  <c r="G288"/>
  <c r="BL289"/>
  <c r="G290"/>
  <c r="BA291"/>
  <c r="AZ291" s="1"/>
  <c r="BL291"/>
  <c r="BL293"/>
  <c r="G294"/>
  <c r="BA295"/>
  <c r="G296"/>
  <c r="BA113"/>
  <c r="BL113"/>
  <c r="BA115"/>
  <c r="AZ115" s="1"/>
  <c r="BL117"/>
  <c r="BA119"/>
  <c r="AZ119" s="1"/>
  <c r="BL121"/>
  <c r="BA123"/>
  <c r="AZ123" s="1"/>
  <c r="G130"/>
  <c r="G149"/>
  <c r="G151"/>
  <c r="BL152"/>
  <c r="BA154"/>
  <c r="AZ154" s="1"/>
  <c r="BA156"/>
  <c r="G157"/>
  <c r="BA170"/>
  <c r="AZ170" s="1"/>
  <c r="BA172"/>
  <c r="G173"/>
  <c r="BL176"/>
  <c r="G177"/>
  <c r="G179"/>
  <c r="G181"/>
  <c r="BL182"/>
  <c r="G185"/>
  <c r="BL186"/>
  <c r="G189"/>
  <c r="BL190"/>
  <c r="G193"/>
  <c r="BL194"/>
  <c r="G197"/>
  <c r="BA198"/>
  <c r="BL198"/>
  <c r="AZ198" s="1"/>
  <c r="G201"/>
  <c r="G204"/>
  <c r="G26"/>
  <c r="BL27"/>
  <c r="BA29"/>
  <c r="G30"/>
  <c r="BL31"/>
  <c r="G32"/>
  <c r="BA33"/>
  <c r="BL33"/>
  <c r="BA34"/>
  <c r="AZ34" s="1"/>
  <c r="BA35"/>
  <c r="AZ35" s="1"/>
  <c r="G50"/>
  <c r="BL51"/>
  <c r="G55"/>
  <c r="G57"/>
  <c r="G59"/>
  <c r="G81"/>
  <c r="BL82"/>
  <c r="G85"/>
  <c r="BL86"/>
  <c r="G87"/>
  <c r="G101"/>
  <c r="BL102"/>
  <c r="AZ515"/>
  <c r="AZ517"/>
  <c r="AZ526"/>
  <c r="AZ567"/>
  <c r="AZ568"/>
  <c r="AC23" i="37"/>
  <c r="AZ484" i="3"/>
  <c r="AZ502"/>
  <c r="AZ551"/>
  <c r="AZ557"/>
  <c r="AZ569"/>
  <c r="AB44" i="21"/>
  <c r="AC28" i="33"/>
  <c r="AB31"/>
  <c r="AB14" i="21"/>
  <c r="W30"/>
  <c r="AB13"/>
  <c r="AC35" i="35"/>
  <c r="W35"/>
  <c r="U40" i="37"/>
  <c r="AB40"/>
  <c r="W13" i="36"/>
  <c r="AC13"/>
  <c r="AZ534" i="3"/>
  <c r="AZ564"/>
  <c r="AZ571"/>
  <c r="AZ381"/>
  <c r="AZ365"/>
  <c r="AZ377"/>
  <c r="AZ343"/>
  <c r="AZ327"/>
  <c r="S27" i="33"/>
  <c r="AA27"/>
  <c r="U31" i="21"/>
  <c r="AB31"/>
  <c r="AA46"/>
  <c r="S46"/>
  <c r="U30"/>
  <c r="AB30"/>
  <c r="AA22" i="35"/>
  <c r="S22"/>
  <c r="S39" i="37"/>
  <c r="AA39"/>
  <c r="AC8" i="21"/>
  <c r="W8"/>
  <c r="W40"/>
  <c r="AC40"/>
  <c r="BL572" i="3"/>
  <c r="AZ572" s="1"/>
  <c r="AA31" i="33"/>
  <c r="S31"/>
  <c r="F27" i="21"/>
  <c r="AA27" s="1"/>
  <c r="S10"/>
  <c r="AA12" i="33"/>
  <c r="C29" i="39"/>
  <c r="W38" i="33"/>
  <c r="H9" i="21"/>
  <c r="J9"/>
  <c r="BG5" i="3"/>
  <c r="J39" i="34"/>
  <c r="H10"/>
  <c r="AB10" s="1"/>
  <c r="F34" i="35"/>
  <c r="F25" i="37"/>
  <c r="G564" i="3"/>
  <c r="G552"/>
  <c r="G551"/>
  <c r="G547"/>
  <c r="G525"/>
  <c r="G524"/>
  <c r="G500"/>
  <c r="G497"/>
  <c r="G482"/>
  <c r="G481"/>
  <c r="G15"/>
  <c r="G386"/>
  <c r="G393"/>
  <c r="BL394"/>
  <c r="G395"/>
  <c r="G398"/>
  <c r="G400"/>
  <c r="BL401"/>
  <c r="G402"/>
  <c r="G404"/>
  <c r="BA405"/>
  <c r="BL405"/>
  <c r="BA406"/>
  <c r="BA407"/>
  <c r="AZ407" s="1"/>
  <c r="BL409"/>
  <c r="G410"/>
  <c r="BA411"/>
  <c r="BL411"/>
  <c r="BA412"/>
  <c r="AZ412" s="1"/>
  <c r="BA414"/>
  <c r="BL414"/>
  <c r="BL416"/>
  <c r="G417"/>
  <c r="G419"/>
  <c r="BA420"/>
  <c r="BL420"/>
  <c r="BA421"/>
  <c r="AZ421" s="1"/>
  <c r="BA422"/>
  <c r="AZ422" s="1"/>
  <c r="BA423"/>
  <c r="AZ423" s="1"/>
  <c r="BL425"/>
  <c r="G426"/>
  <c r="BA427"/>
  <c r="BL427"/>
  <c r="BL429"/>
  <c r="G430"/>
  <c r="BL431"/>
  <c r="G432"/>
  <c r="G434"/>
  <c r="G438"/>
  <c r="G440"/>
  <c r="BL441"/>
  <c r="G442"/>
  <c r="BA443"/>
  <c r="BL443"/>
  <c r="BL445"/>
  <c r="G446"/>
  <c r="BA447"/>
  <c r="BL447"/>
  <c r="BA448"/>
  <c r="AZ448" s="1"/>
  <c r="BA449"/>
  <c r="AZ449" s="1"/>
  <c r="BA450"/>
  <c r="BA452"/>
  <c r="BL452"/>
  <c r="BA453"/>
  <c r="AZ453" s="1"/>
  <c r="BA454"/>
  <c r="BA455"/>
  <c r="AZ455" s="1"/>
  <c r="BA456"/>
  <c r="AZ456" s="1"/>
  <c r="BA458"/>
  <c r="BL458"/>
  <c r="BL460"/>
  <c r="G461"/>
  <c r="BA462"/>
  <c r="BL462"/>
  <c r="BL464"/>
  <c r="G465"/>
  <c r="G467"/>
  <c r="G471"/>
  <c r="G474"/>
  <c r="G476"/>
  <c r="BL477"/>
  <c r="G478"/>
  <c r="G480"/>
  <c r="BA297"/>
  <c r="AZ297" s="1"/>
  <c r="BA301"/>
  <c r="AZ301" s="1"/>
  <c r="BL308"/>
  <c r="AZ308" s="1"/>
  <c r="G309"/>
  <c r="BL310"/>
  <c r="AZ310" s="1"/>
  <c r="BA313"/>
  <c r="AZ313" s="1"/>
  <c r="BA315"/>
  <c r="AZ315" s="1"/>
  <c r="BA321"/>
  <c r="AZ321" s="1"/>
  <c r="BA325"/>
  <c r="AZ325" s="1"/>
  <c r="BL332"/>
  <c r="AZ332" s="1"/>
  <c r="G333"/>
  <c r="BA335"/>
  <c r="AZ335" s="1"/>
  <c r="G341"/>
  <c r="BL342"/>
  <c r="AZ342" s="1"/>
  <c r="G345"/>
  <c r="BA353"/>
  <c r="AZ353" s="1"/>
  <c r="BA357"/>
  <c r="AZ357" s="1"/>
  <c r="G367"/>
  <c r="BL368"/>
  <c r="G381"/>
  <c r="BL382"/>
  <c r="AZ382" s="1"/>
  <c r="BA384"/>
  <c r="AZ384" s="1"/>
  <c r="BL169"/>
  <c r="AZ169" s="1"/>
  <c r="BA171"/>
  <c r="AZ171" s="1"/>
  <c r="BA180"/>
  <c r="BL180"/>
  <c r="BA182"/>
  <c r="AZ182" s="1"/>
  <c r="BA183"/>
  <c r="AZ183" s="1"/>
  <c r="BL184"/>
  <c r="AZ184" s="1"/>
  <c r="BA186"/>
  <c r="AZ186" s="1"/>
  <c r="BA187"/>
  <c r="AZ187" s="1"/>
  <c r="BL188"/>
  <c r="AZ188" s="1"/>
  <c r="BA190"/>
  <c r="AZ190" s="1"/>
  <c r="BA191"/>
  <c r="AZ191" s="1"/>
  <c r="BL192"/>
  <c r="AZ192" s="1"/>
  <c r="BA194"/>
  <c r="AZ194" s="1"/>
  <c r="BA195"/>
  <c r="AZ195" s="1"/>
  <c r="BL196"/>
  <c r="AZ196" s="1"/>
  <c r="BA199"/>
  <c r="AZ199" s="1"/>
  <c r="BL200"/>
  <c r="AZ200" s="1"/>
  <c r="BA205"/>
  <c r="BL205"/>
  <c r="BA206"/>
  <c r="AZ206" s="1"/>
  <c r="BA207"/>
  <c r="AZ207" s="1"/>
  <c r="BA209"/>
  <c r="BL209"/>
  <c r="BA210"/>
  <c r="AZ210" s="1"/>
  <c r="BA212"/>
  <c r="BL212"/>
  <c r="BL214"/>
  <c r="G215"/>
  <c r="BA216"/>
  <c r="BL216"/>
  <c r="BL218"/>
  <c r="G219"/>
  <c r="G221"/>
  <c r="G225"/>
  <c r="G228"/>
  <c r="G230"/>
  <c r="BL231"/>
  <c r="G232"/>
  <c r="G234"/>
  <c r="BA235"/>
  <c r="BL235"/>
  <c r="BA237"/>
  <c r="BL237"/>
  <c r="BA238"/>
  <c r="AZ238" s="1"/>
  <c r="BA239"/>
  <c r="AZ239" s="1"/>
  <c r="BA241"/>
  <c r="BL241"/>
  <c r="BA242"/>
  <c r="AZ242" s="1"/>
  <c r="BA244"/>
  <c r="BL244"/>
  <c r="BL246"/>
  <c r="G247"/>
  <c r="BA248"/>
  <c r="BL248"/>
  <c r="BL250"/>
  <c r="G251"/>
  <c r="G253"/>
  <c r="G257"/>
  <c r="G260"/>
  <c r="G262"/>
  <c r="BL263"/>
  <c r="G264"/>
  <c r="G266"/>
  <c r="BA267"/>
  <c r="BL267"/>
  <c r="BL269"/>
  <c r="G270"/>
  <c r="BA271"/>
  <c r="BL271"/>
  <c r="BA272"/>
  <c r="AZ272" s="1"/>
  <c r="BA273"/>
  <c r="BA274"/>
  <c r="AZ274" s="1"/>
  <c r="BA276"/>
  <c r="BL276"/>
  <c r="BA277"/>
  <c r="AZ277" s="1"/>
  <c r="BL280"/>
  <c r="G281"/>
  <c r="BL282"/>
  <c r="G283"/>
  <c r="BA284"/>
  <c r="BL284"/>
  <c r="BA285"/>
  <c r="AZ285" s="1"/>
  <c r="BA286"/>
  <c r="AZ286" s="1"/>
  <c r="BL288"/>
  <c r="G289"/>
  <c r="BL290"/>
  <c r="G291"/>
  <c r="G293"/>
  <c r="BA294"/>
  <c r="BL294"/>
  <c r="BL296"/>
  <c r="G113"/>
  <c r="BA116"/>
  <c r="BL116"/>
  <c r="BA117"/>
  <c r="AZ117" s="1"/>
  <c r="BL118"/>
  <c r="AZ118" s="1"/>
  <c r="BA120"/>
  <c r="AZ120" s="1"/>
  <c r="BA121"/>
  <c r="AZ121" s="1"/>
  <c r="BL122"/>
  <c r="AZ122" s="1"/>
  <c r="BL125"/>
  <c r="G126"/>
  <c r="BA127"/>
  <c r="AZ127" s="1"/>
  <c r="BA129"/>
  <c r="BL129"/>
  <c r="BA131"/>
  <c r="AZ131" s="1"/>
  <c r="G141"/>
  <c r="G143"/>
  <c r="BL144"/>
  <c r="G145"/>
  <c r="BA148"/>
  <c r="BL148"/>
  <c r="BA149"/>
  <c r="AZ149" s="1"/>
  <c r="BL150"/>
  <c r="AZ150" s="1"/>
  <c r="BA152"/>
  <c r="AZ152" s="1"/>
  <c r="BL153"/>
  <c r="AZ153" s="1"/>
  <c r="BA155"/>
  <c r="AZ155" s="1"/>
  <c r="BL157"/>
  <c r="AZ157" s="1"/>
  <c r="G158"/>
  <c r="BL160"/>
  <c r="G161"/>
  <c r="BA162"/>
  <c r="AZ162" s="1"/>
  <c r="BL164"/>
  <c r="G165"/>
  <c r="BA166"/>
  <c r="AZ166" s="1"/>
  <c r="BL37"/>
  <c r="G38"/>
  <c r="G40"/>
  <c r="G43"/>
  <c r="G46"/>
  <c r="BL47"/>
  <c r="G48"/>
  <c r="BA49"/>
  <c r="BL49"/>
  <c r="BA50"/>
  <c r="AZ50" s="1"/>
  <c r="BA51"/>
  <c r="BA203"/>
  <c r="BL203"/>
  <c r="BA204"/>
  <c r="AZ204" s="1"/>
  <c r="BL21"/>
  <c r="G22"/>
  <c r="BL23"/>
  <c r="G24"/>
  <c r="BA25"/>
  <c r="BL25"/>
  <c r="BA26"/>
  <c r="AZ26" s="1"/>
  <c r="BA27"/>
  <c r="AZ27" s="1"/>
  <c r="BL30"/>
  <c r="G31"/>
  <c r="BL32"/>
  <c r="G33"/>
  <c r="G37"/>
  <c r="G53"/>
  <c r="BA54"/>
  <c r="BL54"/>
  <c r="BA56"/>
  <c r="BL56"/>
  <c r="BA57"/>
  <c r="AZ57" s="1"/>
  <c r="BA58"/>
  <c r="BL58"/>
  <c r="BL60"/>
  <c r="G61"/>
  <c r="G65"/>
  <c r="BL66"/>
  <c r="G67"/>
  <c r="G70"/>
  <c r="G72"/>
  <c r="G74"/>
  <c r="G77"/>
  <c r="BL78"/>
  <c r="G79"/>
  <c r="BA80"/>
  <c r="BL80"/>
  <c r="BA81"/>
  <c r="AZ81" s="1"/>
  <c r="BA82"/>
  <c r="AZ82" s="1"/>
  <c r="BA84"/>
  <c r="BL84"/>
  <c r="BL85"/>
  <c r="G86"/>
  <c r="BA87"/>
  <c r="BL87"/>
  <c r="BL88"/>
  <c r="G89"/>
  <c r="G91"/>
  <c r="G94"/>
  <c r="G97"/>
  <c r="BL98"/>
  <c r="G99"/>
  <c r="BA100"/>
  <c r="BL100"/>
  <c r="BA101"/>
  <c r="AZ101" s="1"/>
  <c r="BA102"/>
  <c r="AZ102" s="1"/>
  <c r="BL104"/>
  <c r="G105"/>
  <c r="G107"/>
  <c r="G110"/>
  <c r="I20" i="57"/>
  <c r="S12" i="21"/>
  <c r="AA12"/>
  <c r="AC9" i="34"/>
  <c r="W9"/>
  <c r="AC23" i="35"/>
  <c r="W23"/>
  <c r="AC13" i="40"/>
  <c r="U40" i="21"/>
  <c r="S32" i="33"/>
  <c r="U12" i="34"/>
  <c r="U14"/>
  <c r="S46"/>
  <c r="AA37" i="39"/>
  <c r="AA34" i="33"/>
  <c r="U47" i="39"/>
  <c r="U17" i="21"/>
  <c r="AB16" i="39"/>
  <c r="W27"/>
  <c r="AC14" i="40"/>
  <c r="F71" i="9"/>
  <c r="W40" i="40"/>
  <c r="H47" i="46"/>
  <c r="AZ494" i="3"/>
  <c r="AZ499"/>
  <c r="AZ507"/>
  <c r="AZ522"/>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BL403"/>
  <c r="AZ403" s="1"/>
  <c r="BA404"/>
  <c r="AZ404" s="1"/>
  <c r="G407"/>
  <c r="G408"/>
  <c r="BL408"/>
  <c r="BA409"/>
  <c r="AZ409" s="1"/>
  <c r="BA410"/>
  <c r="AZ410" s="1"/>
  <c r="G413"/>
  <c r="BL413"/>
  <c r="BL415"/>
  <c r="AZ415" s="1"/>
  <c r="BA416"/>
  <c r="AZ416" s="1"/>
  <c r="BL418"/>
  <c r="AZ418" s="1"/>
  <c r="BA419"/>
  <c r="AZ419" s="1"/>
  <c r="G422"/>
  <c r="G423"/>
  <c r="G424"/>
  <c r="BL424"/>
  <c r="BA425"/>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AZ360" s="1"/>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BA270"/>
  <c r="AZ270" s="1"/>
  <c r="G273"/>
  <c r="G274"/>
  <c r="G275"/>
  <c r="BL275"/>
  <c r="G278"/>
  <c r="BL278"/>
  <c r="AZ278" s="1"/>
  <c r="G279"/>
  <c r="BL279"/>
  <c r="BA280"/>
  <c r="BA281"/>
  <c r="AZ281" s="1"/>
  <c r="BA282"/>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AZ159" s="1"/>
  <c r="BA160"/>
  <c r="AZ160" s="1"/>
  <c r="BL161"/>
  <c r="AZ161" s="1"/>
  <c r="BA163"/>
  <c r="AZ163" s="1"/>
  <c r="BA164"/>
  <c r="AZ164" s="1"/>
  <c r="BL165"/>
  <c r="AZ165" s="1"/>
  <c r="G169"/>
  <c r="G172"/>
  <c r="BL172"/>
  <c r="BA174"/>
  <c r="AZ174" s="1"/>
  <c r="BL175"/>
  <c r="AZ175" s="1"/>
  <c r="BA176"/>
  <c r="AZ176" s="1"/>
  <c r="BA177"/>
  <c r="AZ177" s="1"/>
  <c r="BL178"/>
  <c r="AZ178" s="1"/>
  <c r="G183"/>
  <c r="G184"/>
  <c r="G187"/>
  <c r="G188"/>
  <c r="G191"/>
  <c r="G192"/>
  <c r="G195"/>
  <c r="G196"/>
  <c r="G199"/>
  <c r="G200"/>
  <c r="G202"/>
  <c r="BL202"/>
  <c r="G21"/>
  <c r="BA22"/>
  <c r="AZ22" s="1"/>
  <c r="BA23"/>
  <c r="AZ23" s="1"/>
  <c r="BA24"/>
  <c r="AZ24" s="1"/>
  <c r="G27"/>
  <c r="G28"/>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72"/>
  <c r="AZ202"/>
  <c r="R12" i="1"/>
  <c r="K12"/>
  <c r="M12" s="1"/>
  <c r="BL59" i="3"/>
  <c r="AZ59" s="1"/>
  <c r="BA60"/>
  <c r="AZ60" s="1"/>
  <c r="G63"/>
  <c r="G64"/>
  <c r="BL64"/>
  <c r="AZ64" s="1"/>
  <c r="BA65"/>
  <c r="AZ65" s="1"/>
  <c r="BA66"/>
  <c r="AZ66" s="1"/>
  <c r="G69"/>
  <c r="BL69"/>
  <c r="BL71"/>
  <c r="AZ71" s="1"/>
  <c r="G73"/>
  <c r="BL73"/>
  <c r="AZ73" s="1"/>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G7" s="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87"/>
  <c r="AZ89"/>
  <c r="AZ100"/>
  <c r="AZ105"/>
  <c r="I21" i="57"/>
  <c r="D1" s="1"/>
  <c r="E10" s="1"/>
  <c r="N73" i="46"/>
  <c r="C18" i="9"/>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A12"/>
  <c r="AC35"/>
  <c r="AA30"/>
  <c r="AC32"/>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M29" i="44"/>
  <c r="F26" i="15"/>
  <c r="L47"/>
  <c r="F43"/>
  <c r="F18" i="44"/>
  <c r="F43"/>
  <c r="C15" i="43"/>
  <c r="M28" i="44"/>
  <c r="F39"/>
  <c r="J36" i="15"/>
  <c r="M31" i="44"/>
  <c r="M8"/>
  <c r="F37" i="15"/>
  <c r="F28" i="44"/>
  <c r="L48"/>
  <c r="F13" i="15"/>
  <c r="F15" i="44"/>
  <c r="M24"/>
  <c r="M24" i="15"/>
  <c r="F11" i="44"/>
  <c r="M10"/>
  <c r="F38"/>
  <c r="M6" i="15"/>
  <c r="M23"/>
  <c r="AA33" i="34" l="1"/>
  <c r="AC23" i="21"/>
  <c r="AZ282" i="3"/>
  <c r="AZ280"/>
  <c r="AZ269"/>
  <c r="AZ464"/>
  <c r="AZ425"/>
  <c r="AZ401"/>
  <c r="AZ84"/>
  <c r="AZ51"/>
  <c r="AZ273"/>
  <c r="AZ454"/>
  <c r="AZ450"/>
  <c r="AZ406"/>
  <c r="AZ107"/>
  <c r="AZ94"/>
  <c r="AZ74"/>
  <c r="AZ501"/>
  <c r="D14" i="71"/>
  <c r="AB33" i="34"/>
  <c r="AZ203" i="3"/>
  <c r="AZ49"/>
  <c r="AZ284"/>
  <c r="AZ271"/>
  <c r="AZ267"/>
  <c r="AZ241"/>
  <c r="AZ237"/>
  <c r="AZ235"/>
  <c r="AZ209"/>
  <c r="AZ205"/>
  <c r="AZ462"/>
  <c r="AZ427"/>
  <c r="AZ33"/>
  <c r="AZ225"/>
  <c r="AZ221"/>
  <c r="AZ219"/>
  <c r="AZ369"/>
  <c r="AZ395"/>
  <c r="U34" i="36"/>
  <c r="AB34"/>
  <c r="W12"/>
  <c r="AC12"/>
  <c r="AZ561" i="3"/>
  <c r="AA27" i="37"/>
  <c r="S27"/>
  <c r="AC23" i="36"/>
  <c r="W23"/>
  <c r="AA12" i="35"/>
  <c r="S12"/>
  <c r="W45" i="33"/>
  <c r="AC45"/>
  <c r="AA39" i="34"/>
  <c r="S39"/>
  <c r="W25" i="37"/>
  <c r="AC25"/>
  <c r="W27"/>
  <c r="AC27"/>
  <c r="G5" i="3"/>
  <c r="B3" s="1"/>
  <c r="E413" s="1"/>
  <c r="AA25" i="37"/>
  <c r="S25"/>
  <c r="AB9" i="21"/>
  <c r="U9"/>
  <c r="AZ80" i="3"/>
  <c r="AZ56"/>
  <c r="AZ54"/>
  <c r="AZ25"/>
  <c r="AZ276"/>
  <c r="AZ248"/>
  <c r="AZ244"/>
  <c r="AZ216"/>
  <c r="AZ212"/>
  <c r="AZ180"/>
  <c r="AZ443"/>
  <c r="AZ411"/>
  <c r="AZ405"/>
  <c r="AA34" i="35"/>
  <c r="S34"/>
  <c r="AC39" i="34"/>
  <c r="W39"/>
  <c r="AC9" i="21"/>
  <c r="W9"/>
  <c r="W36" i="34"/>
  <c r="AC36"/>
  <c r="U17" i="40"/>
  <c r="W37"/>
  <c r="AB35" i="34"/>
  <c r="S26" i="37"/>
  <c r="H60" i="46"/>
  <c r="H59"/>
  <c r="I20"/>
  <c r="C20" s="1"/>
  <c r="C36" s="1"/>
  <c r="E36" s="1"/>
  <c r="H66"/>
  <c r="H62"/>
  <c r="C16"/>
  <c r="AB24" i="36"/>
  <c r="U24"/>
  <c r="AA9" i="35"/>
  <c r="S9"/>
  <c r="AB9" i="33"/>
  <c r="U9"/>
  <c r="C7" i="46"/>
  <c r="S43" i="34"/>
  <c r="D18" i="9"/>
  <c r="AC36" i="35"/>
  <c r="W36"/>
  <c r="AC43" i="34"/>
  <c r="W43"/>
  <c r="U39"/>
  <c r="AB39"/>
  <c r="AB37"/>
  <c r="U37"/>
  <c r="AA37"/>
  <c r="S37"/>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E5" i="6"/>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AZ13"/>
  <c r="G29" i="6"/>
  <c r="G30" s="1"/>
  <c r="G31" s="1"/>
  <c r="AZ16" i="3"/>
  <c r="E14" i="6"/>
  <c r="E10"/>
  <c r="E15"/>
  <c r="F30"/>
  <c r="E28"/>
  <c r="E13"/>
  <c r="E11"/>
  <c r="H70" i="46"/>
  <c r="H72"/>
  <c r="F24" i="15"/>
  <c r="C24" s="1"/>
  <c r="F26" i="44"/>
  <c r="C26" s="1"/>
  <c r="F26" i="12"/>
  <c r="C27" s="1"/>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J7"/>
  <c r="AC7" s="1"/>
  <c r="V38" s="1"/>
  <c r="I38" s="1"/>
  <c r="H7"/>
  <c r="AB7" s="1"/>
  <c r="T38" s="1"/>
  <c r="G38" s="1"/>
  <c r="G42" s="1"/>
  <c r="H42"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E4" i="4"/>
  <c r="C4"/>
  <c r="F64" i="15"/>
  <c r="C27"/>
  <c r="Q72"/>
  <c r="F70"/>
  <c r="G66" i="36"/>
  <c r="J18"/>
  <c r="AE8" i="1"/>
  <c r="AE7"/>
  <c r="AE6"/>
  <c r="F31" i="15"/>
  <c r="F58"/>
  <c r="M19" i="44"/>
  <c r="M17" i="15"/>
  <c r="F33" i="44"/>
  <c r="F8"/>
  <c r="M9" i="15"/>
  <c r="F40"/>
  <c r="J15"/>
  <c r="F16"/>
  <c r="M30" i="44"/>
  <c r="F41" i="15"/>
  <c r="M22"/>
  <c r="M29"/>
  <c r="F42"/>
  <c r="J17" i="44"/>
  <c r="M11"/>
  <c r="L49"/>
  <c r="M28" i="15"/>
  <c r="F9" i="44"/>
  <c r="C18"/>
  <c r="F40"/>
  <c r="F45"/>
  <c r="M8" i="15"/>
  <c r="F8"/>
  <c r="F7"/>
  <c r="F38"/>
  <c r="F46" i="44"/>
  <c r="M26"/>
  <c r="F36" i="15"/>
  <c r="M27"/>
  <c r="M26"/>
  <c r="F9"/>
  <c r="L48"/>
  <c r="F6"/>
  <c r="F10" i="44"/>
  <c r="M25"/>
  <c r="D20" i="71" l="1"/>
  <c r="D16"/>
  <c r="D22" s="1"/>
  <c r="H7" i="34"/>
  <c r="AB7" s="1"/>
  <c r="T49" s="1"/>
  <c r="G49" s="1"/>
  <c r="G53" s="1"/>
  <c r="H53" s="1"/>
  <c r="J7" i="36"/>
  <c r="W7" s="1"/>
  <c r="D18" i="71"/>
  <c r="M44" i="9"/>
  <c r="D13" i="71"/>
  <c r="D15" s="1"/>
  <c r="D21" s="1"/>
  <c r="H7" i="36"/>
  <c r="AB7" s="1"/>
  <c r="T36" s="1"/>
  <c r="G36" s="1"/>
  <c r="G40" s="1"/>
  <c r="H40" s="1"/>
  <c r="F7" i="34"/>
  <c r="AA7" s="1"/>
  <c r="R49" s="1"/>
  <c r="D29" i="46"/>
  <c r="D1" s="1"/>
  <c r="F19" i="6"/>
  <c r="AZ3" i="3"/>
  <c r="F7" i="36"/>
  <c r="F7" i="35"/>
  <c r="J7" i="34"/>
  <c r="W7" s="1"/>
  <c r="F63" i="15"/>
  <c r="C33" i="46"/>
  <c r="G33" s="1"/>
  <c r="I33" s="1"/>
  <c r="C34"/>
  <c r="E34" s="1"/>
  <c r="C35"/>
  <c r="E35" s="1"/>
  <c r="C8" i="44"/>
  <c r="C7" s="1"/>
  <c r="C40" s="1"/>
  <c r="I55"/>
  <c r="J60"/>
  <c r="L57"/>
  <c r="J54"/>
  <c r="F1" s="1"/>
  <c r="L59"/>
  <c r="Q75" s="1"/>
  <c r="J58"/>
  <c r="J56" s="1"/>
  <c r="J59" s="1"/>
  <c r="Q52" s="1"/>
  <c r="J61"/>
  <c r="Q50" s="1"/>
  <c r="M9"/>
  <c r="J8" s="1"/>
  <c r="J7" s="1"/>
  <c r="C5" i="46"/>
  <c r="D19" i="71"/>
  <c r="F50" i="15"/>
  <c r="C6"/>
  <c r="C5" s="1"/>
  <c r="F49"/>
  <c r="M7"/>
  <c r="J6" s="1"/>
  <c r="J5" s="1"/>
  <c r="J18" s="1"/>
  <c r="F65"/>
  <c r="F67"/>
  <c r="I54"/>
  <c r="L58"/>
  <c r="Q74" s="1"/>
  <c r="J53"/>
  <c r="F1" s="1"/>
  <c r="J57"/>
  <c r="J55" s="1"/>
  <c r="J58" s="1"/>
  <c r="Q51" s="1"/>
  <c r="L56"/>
  <c r="E32" i="6"/>
  <c r="T10" i="46"/>
  <c r="V10" s="1"/>
  <c r="T14"/>
  <c r="V14" s="1"/>
  <c r="T9"/>
  <c r="V9" s="1"/>
  <c r="T13"/>
  <c r="V13" s="1"/>
  <c r="T8"/>
  <c r="V8" s="1"/>
  <c r="T12"/>
  <c r="V12" s="1"/>
  <c r="T16"/>
  <c r="V16" s="1"/>
  <c r="T11"/>
  <c r="V11" s="1"/>
  <c r="T15"/>
  <c r="V15" s="1"/>
  <c r="C38"/>
  <c r="G38" s="1"/>
  <c r="I38" s="1"/>
  <c r="C39"/>
  <c r="G39" s="1"/>
  <c r="I39" s="1"/>
  <c r="C37"/>
  <c r="I116"/>
  <c r="J116" s="1"/>
  <c r="K116" s="1"/>
  <c r="L116" s="1"/>
  <c r="M116" s="1"/>
  <c r="K102"/>
  <c r="K103"/>
  <c r="K106"/>
  <c r="F105"/>
  <c r="F104"/>
  <c r="F102"/>
  <c r="C109"/>
  <c r="C102"/>
  <c r="C103"/>
  <c r="J102"/>
  <c r="J106"/>
  <c r="H7" i="37"/>
  <c r="Q76" i="44"/>
  <c r="J7" i="37"/>
  <c r="W7" s="1"/>
  <c r="F7"/>
  <c r="AA7" s="1"/>
  <c r="R42" s="1"/>
  <c r="E42"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E48" i="33"/>
  <c r="E52" s="1"/>
  <c r="F52" s="1"/>
  <c r="C115" i="46"/>
  <c r="AG6" i="1"/>
  <c r="AC6" i="3"/>
  <c r="D12" i="11"/>
  <c r="C12" s="1"/>
  <c r="F68" i="15"/>
  <c r="D26" i="12"/>
  <c r="E59" i="40"/>
  <c r="E29" i="6"/>
  <c r="L20" s="1"/>
  <c r="E58" i="40"/>
  <c r="E63" i="39"/>
  <c r="E16" i="6"/>
  <c r="AZ5" i="3"/>
  <c r="E60" i="40"/>
  <c r="E65" i="39"/>
  <c r="K14" i="1"/>
  <c r="E30" i="6"/>
  <c r="L19"/>
  <c r="K15" i="1"/>
  <c r="E62" i="40"/>
  <c r="E67" i="39"/>
  <c r="E66"/>
  <c r="E61" i="40"/>
  <c r="G36" i="46"/>
  <c r="I36" s="1"/>
  <c r="B21" i="55"/>
  <c r="B72" i="63" s="1"/>
  <c r="B20" i="55"/>
  <c r="B70" i="63" s="1"/>
  <c r="S7" i="36"/>
  <c r="AA7"/>
  <c r="R36" s="1"/>
  <c r="E36" s="1"/>
  <c r="E40" s="1"/>
  <c r="F40" s="1"/>
  <c r="S7" i="35"/>
  <c r="AA7"/>
  <c r="R38" s="1"/>
  <c r="R39" s="1"/>
  <c r="C38" s="1"/>
  <c r="AC7" i="37"/>
  <c r="V42" s="1"/>
  <c r="I42" s="1"/>
  <c r="I46" s="1"/>
  <c r="J46" s="1"/>
  <c r="F7" i="21"/>
  <c r="J7"/>
  <c r="H7"/>
  <c r="G43" i="35"/>
  <c r="H43" s="1"/>
  <c r="I42"/>
  <c r="J42" s="1"/>
  <c r="G52" i="33"/>
  <c r="H52" s="1"/>
  <c r="G53"/>
  <c r="H53" s="1"/>
  <c r="E67" i="40"/>
  <c r="F65"/>
  <c r="E72" i="39"/>
  <c r="F70"/>
  <c r="Q62" i="15"/>
  <c r="E46" i="37"/>
  <c r="F46" s="1"/>
  <c r="C48" i="33"/>
  <c r="C49"/>
  <c r="B3" s="1"/>
  <c r="B2" s="1"/>
  <c r="L52" i="44"/>
  <c r="F24" i="43"/>
  <c r="D21" i="12"/>
  <c r="C16" i="15"/>
  <c r="S7" i="34" l="1"/>
  <c r="AC7"/>
  <c r="V49" s="1"/>
  <c r="I49" s="1"/>
  <c r="G54" s="1"/>
  <c r="H54" s="1"/>
  <c r="E19" i="6"/>
  <c r="F27"/>
  <c r="F31" s="1"/>
  <c r="G37" i="46"/>
  <c r="I37" s="1"/>
  <c r="C17" i="71"/>
  <c r="J17" s="1"/>
  <c r="E33" i="46"/>
  <c r="G35"/>
  <c r="I35" s="1"/>
  <c r="D17" i="71"/>
  <c r="Q62" i="44"/>
  <c r="G34" i="46"/>
  <c r="I34" s="1"/>
  <c r="Q54" i="44"/>
  <c r="G41" i="36"/>
  <c r="H41" s="1"/>
  <c r="C21" i="12"/>
  <c r="Q61" i="15"/>
  <c r="C48"/>
  <c r="Q53"/>
  <c r="I53" i="34"/>
  <c r="J53" s="1"/>
  <c r="E38" i="46"/>
  <c r="E37"/>
  <c r="E39"/>
  <c r="E29"/>
  <c r="C30"/>
  <c r="E30"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S7"/>
  <c r="S8"/>
  <c r="S9"/>
  <c r="E3" i="6"/>
  <c r="AY6" i="3"/>
  <c r="R43" i="37"/>
  <c r="R50" i="34"/>
  <c r="C50" s="1"/>
  <c r="C8" i="12" s="1"/>
  <c r="C10" s="1"/>
  <c r="C6" s="1"/>
  <c r="E49" i="34"/>
  <c r="C39" i="35"/>
  <c r="B3" s="1"/>
  <c r="B2" s="1"/>
  <c r="AC7" i="21"/>
  <c r="V48" s="1"/>
  <c r="I48" s="1"/>
  <c r="W7"/>
  <c r="U7"/>
  <c r="AB7"/>
  <c r="T48" s="1"/>
  <c r="G48" s="1"/>
  <c r="S7"/>
  <c r="AA7"/>
  <c r="R48" s="1"/>
  <c r="F72" i="39"/>
  <c r="G70"/>
  <c r="F67" i="40"/>
  <c r="G65"/>
  <c r="J24" i="15"/>
  <c r="C32"/>
  <c r="C38"/>
  <c r="J20" i="44"/>
  <c r="J26"/>
  <c r="C19"/>
  <c r="F7" i="67"/>
  <c r="C17" i="15"/>
  <c r="C15" i="12"/>
  <c r="C9" l="1"/>
  <c r="E27" i="6"/>
  <c r="K19" s="1"/>
  <c r="C9" i="43"/>
  <c r="K6" i="1"/>
  <c r="D3" i="34"/>
  <c r="C29" i="12"/>
  <c r="C24"/>
  <c r="C27" i="46"/>
  <c r="B3" i="34"/>
  <c r="C8" i="43"/>
  <c r="C10" s="1"/>
  <c r="C6" s="1"/>
  <c r="C31" s="1"/>
  <c r="C26" i="46"/>
  <c r="B2" s="1"/>
  <c r="D4" s="1"/>
  <c r="E4" i="67"/>
  <c r="G46" i="37"/>
  <c r="H46" s="1"/>
  <c r="E47"/>
  <c r="F47" s="1"/>
  <c r="L47" i="44"/>
  <c r="Q59"/>
  <c r="Q68"/>
  <c r="E43" i="35"/>
  <c r="F43" s="1"/>
  <c r="E42"/>
  <c r="F42" s="1"/>
  <c r="C37" i="36"/>
  <c r="B3" s="1"/>
  <c r="B2" s="1"/>
  <c r="C36"/>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C21" i="4"/>
  <c r="O5" i="54" s="1"/>
  <c r="B45" i="63" s="1"/>
  <c r="E6" i="6"/>
  <c r="D10" i="11"/>
  <c r="L38" i="9"/>
  <c r="B14" i="66" s="1"/>
  <c r="B1" s="1"/>
  <c r="O14" i="1"/>
  <c r="C43" i="37"/>
  <c r="B3" s="1"/>
  <c r="B2" s="1"/>
  <c r="C42"/>
  <c r="C49" i="34"/>
  <c r="E54"/>
  <c r="F54" s="1"/>
  <c r="I54"/>
  <c r="J54" s="1"/>
  <c r="E53"/>
  <c r="F53" s="1"/>
  <c r="I52" i="21"/>
  <c r="J52" s="1"/>
  <c r="E48"/>
  <c r="R49"/>
  <c r="G52"/>
  <c r="H52" s="1"/>
  <c r="G53"/>
  <c r="H53" s="1"/>
  <c r="G67" i="40"/>
  <c r="H65"/>
  <c r="G72" i="39"/>
  <c r="H70"/>
  <c r="B7" i="67"/>
  <c r="E7"/>
  <c r="F33" i="12"/>
  <c r="M19" i="6" l="1"/>
  <c r="S6" i="1"/>
  <c r="B2" i="34"/>
  <c r="G16" i="1"/>
  <c r="AP16"/>
  <c r="F22" i="11" s="1"/>
  <c r="K16" i="1"/>
  <c r="M6"/>
  <c r="H16"/>
  <c r="Q16"/>
  <c r="F18" i="11" s="1"/>
  <c r="C18" s="1"/>
  <c r="C19" s="1"/>
  <c r="C20" s="1"/>
  <c r="C21" s="1"/>
  <c r="K24" i="6"/>
  <c r="M24" s="1"/>
  <c r="I24" s="1"/>
  <c r="S24" s="1"/>
  <c r="K20"/>
  <c r="M20" s="1"/>
  <c r="I20" s="1"/>
  <c r="S20" s="1"/>
  <c r="K25"/>
  <c r="M25" s="1"/>
  <c r="I25" s="1"/>
  <c r="S25" s="1"/>
  <c r="K26"/>
  <c r="M26" s="1"/>
  <c r="I26" s="1"/>
  <c r="S26" s="1"/>
  <c r="K22"/>
  <c r="M22" s="1"/>
  <c r="I22" s="1"/>
  <c r="S22" s="1"/>
  <c r="K23"/>
  <c r="M23" s="1"/>
  <c r="I23" s="1"/>
  <c r="S23" s="1"/>
  <c r="K21"/>
  <c r="M21" s="1"/>
  <c r="I21" s="1"/>
  <c r="S21" s="1"/>
  <c r="E31"/>
  <c r="C34" i="12"/>
  <c r="D33" s="1"/>
  <c r="E3" i="67"/>
  <c r="E68" i="39"/>
  <c r="E63" i="40"/>
  <c r="B2" i="67"/>
  <c r="B4" i="46"/>
  <c r="B3"/>
  <c r="P14" i="1"/>
  <c r="D13" i="11"/>
  <c r="C13" s="1"/>
  <c r="C22" i="4"/>
  <c r="K38" i="9"/>
  <c r="C14" i="66" s="1"/>
  <c r="B2" s="1"/>
  <c r="D19" i="6"/>
  <c r="D24"/>
  <c r="D21"/>
  <c r="D26"/>
  <c r="D25"/>
  <c r="D22"/>
  <c r="D10"/>
  <c r="D11"/>
  <c r="D13"/>
  <c r="D12"/>
  <c r="H20"/>
  <c r="H25"/>
  <c r="D6"/>
  <c r="D9"/>
  <c r="D23"/>
  <c r="D5"/>
  <c r="D14"/>
  <c r="D29"/>
  <c r="D28"/>
  <c r="H22"/>
  <c r="R22" s="1"/>
  <c r="R9" i="1" s="1"/>
  <c r="D20" i="6"/>
  <c r="D15"/>
  <c r="D8"/>
  <c r="H26"/>
  <c r="E53" i="21"/>
  <c r="F53" s="1"/>
  <c r="E52"/>
  <c r="F52" s="1"/>
  <c r="C48"/>
  <c r="C49"/>
  <c r="B3" s="1"/>
  <c r="B2" s="1"/>
  <c r="I53"/>
  <c r="J53" s="1"/>
  <c r="I70" i="39"/>
  <c r="H72"/>
  <c r="I65" i="40"/>
  <c r="H67"/>
  <c r="D22" i="12"/>
  <c r="D16" i="43"/>
  <c r="C29"/>
  <c r="D16" i="12"/>
  <c r="C22" i="11" l="1"/>
  <c r="C23" s="1"/>
  <c r="B2" s="1"/>
  <c r="B3" s="1"/>
  <c r="H24" i="6"/>
  <c r="H21"/>
  <c r="C16" i="43"/>
  <c r="D19" i="12"/>
  <c r="C19" s="1"/>
  <c r="C16"/>
  <c r="J12" i="40"/>
  <c r="F12"/>
  <c r="H12" i="39"/>
  <c r="F12"/>
  <c r="H12" i="40"/>
  <c r="J12" i="39"/>
  <c r="S16" i="1"/>
  <c r="M27" i="6"/>
  <c r="I19"/>
  <c r="H23"/>
  <c r="O6" i="1"/>
  <c r="M16"/>
  <c r="K27" i="6"/>
  <c r="C22" i="12"/>
  <c r="C20" s="1"/>
  <c r="B3" i="67"/>
  <c r="B4"/>
  <c r="R20" i="6"/>
  <c r="R7" i="1" s="1"/>
  <c r="R24" i="6"/>
  <c r="D16"/>
  <c r="D30"/>
  <c r="R23"/>
  <c r="R25"/>
  <c r="R21"/>
  <c r="R8" i="1" s="1"/>
  <c r="D27" i="6"/>
  <c r="A6" i="51"/>
  <c r="B7" i="63" s="1"/>
  <c r="A20" i="64"/>
  <c r="A6"/>
  <c r="A20" i="51"/>
  <c r="B15" i="63" s="1"/>
  <c r="N5" i="54"/>
  <c r="B43" i="63" s="1"/>
  <c r="R26" i="6"/>
  <c r="J65" i="40"/>
  <c r="I67"/>
  <c r="J70" i="39"/>
  <c r="I72"/>
  <c r="C47" i="15"/>
  <c r="F35"/>
  <c r="F37" i="44"/>
  <c r="M23"/>
  <c r="M21" i="15"/>
  <c r="B5" i="11" l="1"/>
  <c r="B4"/>
  <c r="L16" i="1"/>
  <c r="N16"/>
  <c r="AC12" i="39"/>
  <c r="W12"/>
  <c r="S12"/>
  <c r="AA12"/>
  <c r="AA12" i="40"/>
  <c r="S12"/>
  <c r="P6" i="1"/>
  <c r="O16"/>
  <c r="I27" i="6"/>
  <c r="H19"/>
  <c r="S19"/>
  <c r="S27" s="1"/>
  <c r="T13" i="1"/>
  <c r="T7"/>
  <c r="T9"/>
  <c r="T11"/>
  <c r="T12"/>
  <c r="T10"/>
  <c r="T6"/>
  <c r="T8"/>
  <c r="AB12" i="40"/>
  <c r="U12"/>
  <c r="AB12" i="39"/>
  <c r="U12"/>
  <c r="W12" i="40"/>
  <c r="AC12"/>
  <c r="J20" i="15"/>
  <c r="C36" i="44"/>
  <c r="C34" i="15"/>
  <c r="F62"/>
  <c r="C61" s="1"/>
  <c r="J22" i="44"/>
  <c r="D31" i="6"/>
  <c r="I6" s="1"/>
  <c r="K70" i="39"/>
  <c r="J72"/>
  <c r="K65" i="40"/>
  <c r="J67"/>
  <c r="C65" i="15"/>
  <c r="C59"/>
  <c r="C14"/>
  <c r="C13" i="43"/>
  <c r="C16" i="44"/>
  <c r="C13" i="12"/>
  <c r="C17" i="43" l="1"/>
  <c r="C14"/>
  <c r="C17" i="44"/>
  <c r="C20"/>
  <c r="C15" i="15"/>
  <c r="C18"/>
  <c r="C17" i="12"/>
  <c r="C14"/>
  <c r="T16" i="1"/>
  <c r="H27" i="6"/>
  <c r="R19"/>
  <c r="P16" i="1"/>
  <c r="I5" i="6"/>
  <c r="K67" i="40"/>
  <c r="L65"/>
  <c r="K72" i="39"/>
  <c r="L70"/>
  <c r="C18" i="12" l="1"/>
  <c r="C21" i="44"/>
  <c r="C22" s="1"/>
  <c r="C25" s="1"/>
  <c r="C18" i="43"/>
  <c r="C19" s="1"/>
  <c r="C22" s="1"/>
  <c r="C21" s="1"/>
  <c r="C19" i="15"/>
  <c r="C20" s="1"/>
  <c r="C23" s="1"/>
  <c r="R6" i="1"/>
  <c r="R16" s="1"/>
  <c r="R27" i="6"/>
  <c r="L72" i="39"/>
  <c r="M70"/>
  <c r="M65" i="40"/>
  <c r="L67"/>
  <c r="C23" i="12" l="1"/>
  <c r="C35" s="1"/>
  <c r="C33" s="1"/>
  <c r="C25" i="43"/>
  <c r="C24" s="1"/>
  <c r="C28" s="1"/>
  <c r="C30" s="1"/>
  <c r="C32" s="1"/>
  <c r="B2" s="1"/>
  <c r="C28" i="44"/>
  <c r="C31" s="1"/>
  <c r="C38" s="1"/>
  <c r="C26" i="15"/>
  <c r="C29" s="1"/>
  <c r="N70" i="39"/>
  <c r="N72" s="1"/>
  <c r="M72"/>
  <c r="N65" i="40"/>
  <c r="N67" s="1"/>
  <c r="M67"/>
  <c r="D19" i="9"/>
  <c r="C28" i="12" l="1"/>
  <c r="C26" s="1"/>
  <c r="C31" s="1"/>
  <c r="C30" s="1"/>
  <c r="C36" s="1"/>
  <c r="B2" s="1"/>
  <c r="Q51" i="44"/>
  <c r="C35"/>
  <c r="C33" s="1"/>
  <c r="C15"/>
  <c r="J21"/>
  <c r="J19" s="1"/>
  <c r="J16"/>
  <c r="J59" i="15"/>
  <c r="J60" s="1"/>
  <c r="Q49" s="1"/>
  <c r="J14"/>
  <c r="J19"/>
  <c r="J17" s="1"/>
  <c r="C56"/>
  <c r="C13"/>
  <c r="C33"/>
  <c r="C31" s="1"/>
  <c r="Q50"/>
  <c r="C36"/>
  <c r="L44" i="9"/>
  <c r="J9" i="40"/>
  <c r="F9"/>
  <c r="H9"/>
  <c r="J9" i="39"/>
  <c r="H9"/>
  <c r="F9"/>
  <c r="B5" i="12"/>
  <c r="D20" i="9"/>
  <c r="B3" i="43"/>
  <c r="B3" i="12"/>
  <c r="B5" i="43"/>
  <c r="D21" i="9"/>
  <c r="B4" i="43"/>
  <c r="J15" i="44" l="1"/>
  <c r="J25" s="1"/>
  <c r="J24"/>
  <c r="C43"/>
  <c r="Q72"/>
  <c r="C39"/>
  <c r="C32" s="1"/>
  <c r="C42" s="1"/>
  <c r="C63" i="15"/>
  <c r="C60"/>
  <c r="C58" s="1"/>
  <c r="J22"/>
  <c r="J13"/>
  <c r="J23" s="1"/>
  <c r="J35"/>
  <c r="C37"/>
  <c r="C30" s="1"/>
  <c r="C39" s="1"/>
  <c r="Q70" s="1"/>
  <c r="Q71"/>
  <c r="C55"/>
  <c r="C64" s="1"/>
  <c r="C13" i="71"/>
  <c r="S9" i="39"/>
  <c r="AA9"/>
  <c r="R49" s="1"/>
  <c r="W9"/>
  <c r="AC9"/>
  <c r="V49" s="1"/>
  <c r="I49" s="1"/>
  <c r="AA9" i="40"/>
  <c r="R44" s="1"/>
  <c r="S9"/>
  <c r="U9" i="39"/>
  <c r="AB9"/>
  <c r="T49" s="1"/>
  <c r="G49" s="1"/>
  <c r="AB9" i="40"/>
  <c r="T44" s="1"/>
  <c r="G44" s="1"/>
  <c r="U9"/>
  <c r="AC9"/>
  <c r="V44" s="1"/>
  <c r="I44" s="1"/>
  <c r="W9"/>
  <c r="B4" i="12"/>
  <c r="J13" i="71" l="1"/>
  <c r="M13"/>
  <c r="C40" i="15"/>
  <c r="J42" s="1"/>
  <c r="J43" s="1"/>
  <c r="J18" i="44"/>
  <c r="J27" s="1"/>
  <c r="J28" s="1"/>
  <c r="J31" s="1"/>
  <c r="Q67" s="1"/>
  <c r="Q77" s="1"/>
  <c r="Q71"/>
  <c r="Q70" s="1"/>
  <c r="C44"/>
  <c r="C45" s="1"/>
  <c r="Q69" i="15"/>
  <c r="J16"/>
  <c r="J25" s="1"/>
  <c r="J26" s="1"/>
  <c r="J29" s="1"/>
  <c r="C57"/>
  <c r="C66" s="1"/>
  <c r="C67" s="1"/>
  <c r="C70" s="1"/>
  <c r="J39"/>
  <c r="J40" s="1"/>
  <c r="C43"/>
  <c r="I48" i="40"/>
  <c r="J48" s="1"/>
  <c r="G48"/>
  <c r="H48" s="1"/>
  <c r="G49"/>
  <c r="H49" s="1"/>
  <c r="E44"/>
  <c r="R45"/>
  <c r="G53" i="39"/>
  <c r="H53" s="1"/>
  <c r="G54"/>
  <c r="H54" s="1"/>
  <c r="I53"/>
  <c r="J53" s="1"/>
  <c r="E49"/>
  <c r="R50"/>
  <c r="L51" i="15"/>
  <c r="Q48" l="1"/>
  <c r="Q54" s="1"/>
  <c r="B2" i="44"/>
  <c r="B5" s="1"/>
  <c r="Q57" i="15"/>
  <c r="Q49" i="44"/>
  <c r="Q55" s="1"/>
  <c r="Q58"/>
  <c r="Q64" s="1"/>
  <c r="Q68" i="15"/>
  <c r="L57"/>
  <c r="L60" s="1"/>
  <c r="L46" s="1"/>
  <c r="B2" s="1"/>
  <c r="B3" s="1"/>
  <c r="Q66"/>
  <c r="C46"/>
  <c r="B4" i="44"/>
  <c r="E54" i="39"/>
  <c r="F54" s="1"/>
  <c r="E53"/>
  <c r="F53" s="1"/>
  <c r="E48" i="40"/>
  <c r="F48" s="1"/>
  <c r="E49"/>
  <c r="F49" s="1"/>
  <c r="C50" i="39"/>
  <c r="C49"/>
  <c r="I54"/>
  <c r="J54" s="1"/>
  <c r="C45" i="40"/>
  <c r="C44"/>
  <c r="I49"/>
  <c r="J49" s="1"/>
  <c r="B3" i="44" l="1"/>
  <c r="Q67" i="15"/>
  <c r="Q76" s="1"/>
  <c r="Q58"/>
  <c r="Q63"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C14" i="71" l="1"/>
  <c r="M14" s="1"/>
  <c r="G20" i="9"/>
  <c r="G21"/>
  <c r="C45"/>
  <c r="H14" i="66" s="1"/>
  <c r="B7" s="1"/>
  <c r="G22" i="9"/>
  <c r="N43"/>
  <c r="C18" i="71" l="1"/>
  <c r="J18" s="1"/>
  <c r="J14"/>
  <c r="E13"/>
  <c r="F13" s="1"/>
  <c r="D7" i="66"/>
  <c r="C7"/>
  <c r="C42" i="9"/>
  <c r="O38"/>
  <c r="K25" s="1"/>
  <c r="C34"/>
  <c r="C33"/>
  <c r="O43"/>
  <c r="C35"/>
  <c r="F42" s="1"/>
  <c r="E17" i="71" l="1"/>
  <c r="D53" s="1"/>
  <c r="E49"/>
  <c r="D49"/>
  <c r="G13"/>
  <c r="R30"/>
  <c r="D30"/>
  <c r="E30" s="1"/>
  <c r="C44" i="9"/>
  <c r="G14" i="66" s="1"/>
  <c r="B6" s="1"/>
  <c r="D14"/>
  <c r="F14" s="1"/>
  <c r="R5" i="54"/>
  <c r="B48" i="63" s="1"/>
  <c r="M38" i="9"/>
  <c r="K27" s="1"/>
  <c r="E42"/>
  <c r="N68"/>
  <c r="D63"/>
  <c r="C111" s="1"/>
  <c r="N38"/>
  <c r="K28" s="1"/>
  <c r="D42"/>
  <c r="K26"/>
  <c r="D45"/>
  <c r="E45"/>
  <c r="O40"/>
  <c r="F45"/>
  <c r="K49" i="71" l="1"/>
  <c r="H13"/>
  <c r="L49" s="1"/>
  <c r="F17"/>
  <c r="G17"/>
  <c r="K54" s="1"/>
  <c r="K29"/>
  <c r="L29" s="1"/>
  <c r="S30"/>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H17" i="71" l="1"/>
  <c r="L54" s="1"/>
  <c r="S3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D32" i="71" l="1"/>
  <c r="R34" s="1"/>
  <c r="E32"/>
  <c r="E34" s="1"/>
  <c r="K31" l="1"/>
  <c r="L31" s="1"/>
  <c r="S34" l="1"/>
  <c r="S36" s="1"/>
  <c r="S37" s="1"/>
  <c r="L34"/>
  <c r="J19" l="1"/>
  <c r="J20" l="1"/>
  <c r="E19" l="1"/>
  <c r="F19" l="1"/>
  <c r="G19"/>
  <c r="H19" s="1"/>
  <c r="E53" l="1"/>
  <c r="R50" l="1"/>
  <c r="R48" l="1"/>
  <c r="C21" l="1"/>
  <c r="J21" s="1"/>
  <c r="C15" l="1"/>
  <c r="J15" l="1"/>
  <c r="J16" l="1"/>
  <c r="C22"/>
  <c r="E15"/>
  <c r="G15" l="1"/>
  <c r="D48"/>
  <c r="S48" s="1"/>
  <c r="F15"/>
  <c r="J22"/>
  <c r="E21"/>
  <c r="S50" s="1"/>
  <c r="E48" l="1"/>
  <c r="E51" s="1"/>
  <c r="D52"/>
  <c r="F21"/>
  <c r="G21"/>
  <c r="K47"/>
  <c r="H15"/>
  <c r="L47" s="1"/>
  <c r="L52" s="1"/>
  <c r="E52" l="1"/>
  <c r="E54"/>
  <c r="K53"/>
  <c r="H21"/>
  <c r="L53" s="1"/>
  <c r="L55" s="1"/>
  <c r="L5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19"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<sst xmlns="http://schemas.openxmlformats.org/spreadsheetml/2006/main" count="7140" uniqueCount="3147">
  <si>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</si>
  <si>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</si>
  <si>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</si>
  <si>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</si>
  <si>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</si>
  <si>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</si>
  <si>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</si>
  <si>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</si>
  <si>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</si>
  <si>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</si>
  <si>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</si>
  <si>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</si>
  <si>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</si>
  <si>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</si>
  <si>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</si>
  <si>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</si>
  <si>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</si>
  <si>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</si>
  <si>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</si>
  <si>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</si>
  <si>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</si>
  <si>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</si>
  <si>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</si>
  <si>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</si>
  <si>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</si>
  <si>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</si>
  <si>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</si>
  <si>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</si>
  <si>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</si>
  <si>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</si>
  <si>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</si>
  <si>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</si>
  <si>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</si>
  <si>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</si>
  <si>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</si>
  <si>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</si>
  <si>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</si>
  <si>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</si>
  <si>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</si>
  <si>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</si>
  <si>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</si>
  <si>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</si>
  <si>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</si>
  <si>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</si>
  <si>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</si>
  <si>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</si>
  <si>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</si>
  <si>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</si>
  <si>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</si>
  <si>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</si>
  <si>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</si>
  <si>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</si>
  <si>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</si>
  <si>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</si>
  <si>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</si>
  <si>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</si>
  <si>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</si>
  <si>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</si>
  <si>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</si>
  <si>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</si>
  <si>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</si>
  <si>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</si>
  <si>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</si>
  <si>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</si>
  <si>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</si>
  <si>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</si>
  <si>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</si>
  <si>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</si>
  <si>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</si>
  <si>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</si>
  <si>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</si>
  <si>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</si>
  <si>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</si>
  <si>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</si>
  <si>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</si>
  <si>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</si>
  <si>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</si>
  <si>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</si>
  <si>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</si>
  <si>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</si>
  <si>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</si>
  <si>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</si>
  <si>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</si>
  <si>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</si>
  <si>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</si>
  <si>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</si>
  <si>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</si>
  <si>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</si>
  <si>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</si>
  <si>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</si>
  <si>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</si>
  <si>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</si>
  <si>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</si>
  <si>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</si>
  <si>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</si>
  <si>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</si>
  <si>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</si>
  <si>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</si>
  <si>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</si>
  <si>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</si>
  <si>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</si>
  <si>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</si>
  <si>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</si>
  <si>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</si>
  <si>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</si>
  <si>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</si>
  <si>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</si>
  <si>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</si>
  <si>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</si>
  <si>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</si>
  <si>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</si>
  <si>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</si>
  <si>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</si>
  <si>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</si>
  <si>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</si>
  <si>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</si>
  <si>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</si>
  <si>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</si>
  <si>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</si>
  <si>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</si>
  <si>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</si>
  <si>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</si>
  <si>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</si>
  <si>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</si>
  <si>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</si>
  <si>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</si>
  <si>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</si>
  <si>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</si>
  <si>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</si>
  <si>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</si>
  <si>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</si>
  <si>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</si>
  <si>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</si>
  <si>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</si>
  <si>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</si>
  <si>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</si>
  <si>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</si>
  <si>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</si>
  <si>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</si>
  <si>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</si>
  <si>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</si>
  <si>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</si>
  <si>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</si>
  <si>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</si>
  <si>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</si>
  <si>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</si>
  <si>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</si>
  <si>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</si>
  <si>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</si>
  <si>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</si>
  <si>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</si>
  <si>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</si>
  <si>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</si>
  <si>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</si>
  <si>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</si>
  <si>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</si>
  <si>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</si>
  <si>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</si>
  <si>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</si>
  <si>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</si>
  <si>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</si>
  <si>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</si>
  <si>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</si>
  <si>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</si>
  <si>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</si>
  <si>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</si>
  <si>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</si>
  <si>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</si>
  <si>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</si>
  <si>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</si>
  <si>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</si>
  <si>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</si>
  <si>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</si>
  <si>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</si>
  <si>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</si>
  <si>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</si>
  <si>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</si>
  <si>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</si>
  <si>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</si>
  <si>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</si>
  <si>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</si>
  <si>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</si>
  <si>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</si>
  <si>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</si>
  <si>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</si>
  <si>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</si>
  <si>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</si>
  <si>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</si>
  <si>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</si>
  <si>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</si>
  <si>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</si>
  <si>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</si>
  <si>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</si>
  <si>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</si>
  <si>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</si>
  <si>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</si>
  <si>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</si>
  <si>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</si>
  <si>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</si>
  <si>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</si>
  <si>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</si>
  <si>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</si>
  <si>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</si>
  <si>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</si>
  <si>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</si>
  <si>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</si>
  <si>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</si>
  <si>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</si>
  <si>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</si>
  <si>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</si>
  <si>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</si>
  <si>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</si>
  <si>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</si>
  <si>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</si>
  <si>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</si>
  <si>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</si>
  <si>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</si>
  <si>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</si>
  <si>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</si>
  <si>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</si>
  <si>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</si>
  <si>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</si>
  <si>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</si>
  <si>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</si>
  <si>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</si>
  <si>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</si>
  <si>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</si>
  <si>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</si>
  <si>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</si>
  <si>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</si>
  <si>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</si>
  <si>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</si>
  <si>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</si>
  <si>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</si>
  <si>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</si>
  <si>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</si>
  <si>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</si>
  <si>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</si>
  <si>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</si>
  <si>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</si>
  <si>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</si>
  <si>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</si>
  <si>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</si>
  <si>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</si>
  <si>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</si>
  <si>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</si>
  <si>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</si>
  <si>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</si>
  <si>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</si>
  <si>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</si>
  <si>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</si>
  <si>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</si>
  <si>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</si>
  <si>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</si>
  <si>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</si>
  <si>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</si>
  <si>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</si>
  <si>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</si>
  <si>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</si>
  <si>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</si>
  <si>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</si>
  <si>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</si>
  <si>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</si>
  <si>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</si>
  <si>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</si>
  <si>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</si>
  <si>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</si>
  <si>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</si>
  <si>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</si>
  <si>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</si>
  <si>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</si>
  <si>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</si>
  <si>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</si>
  <si>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</si>
  <si>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</si>
  <si>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</si>
  <si>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</si>
  <si>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</si>
  <si>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</si>
  <si>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</si>
  <si>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</si>
  <si>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</si>
  <si>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</si>
  <si>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</si>
  <si>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</si>
  <si>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</si>
  <si>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</si>
  <si>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</si>
  <si>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</si>
  <si>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</si>
  <si>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</si>
  <si>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</si>
  <si>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</si>
  <si>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</si>
  <si>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</si>
  <si>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</si>
  <si>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</si>
  <si>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</si>
  <si>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</si>
  <si>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</si>
  <si>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</si>
  <si>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</si>
  <si>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</si>
  <si>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</si>
  <si>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</si>
  <si>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</si>
  <si>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</si>
  <si>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</si>
  <si>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</si>
  <si>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</si>
  <si>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</si>
  <si>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</si>
  <si>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</si>
  <si>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</si>
  <si>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</si>
  <si>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</si>
  <si>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</si>
  <si>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</si>
  <si>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</si>
  <si>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</si>
  <si>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</si>
  <si>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</si>
  <si>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</si>
  <si>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</si>
  <si>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</si>
  <si>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</si>
  <si>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</si>
  <si>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</si>
  <si>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</si>
  <si>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</si>
  <si>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</si>
  <si>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</si>
  <si>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</si>
  <si>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</si>
  <si>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</si>
  <si>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</si>
  <si>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</si>
  <si>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</si>
  <si>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</si>
  <si>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</si>
  <si>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</si>
  <si>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</si>
  <si>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</si>
  <si>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</si>
  <si>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</si>
  <si>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</si>
  <si>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</si>
  <si>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</si>
  <si>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</si>
  <si>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</si>
  <si>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</si>
  <si>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</si>
  <si>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</si>
  <si>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</si>
  <si>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</si>
  <si>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</si>
  <si>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</si>
  <si>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</si>
  <si>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</si>
  <si>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</si>
  <si>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</si>
  <si>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</si>
  <si>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</si>
  <si>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</si>
  <si>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</si>
  <si>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</si>
  <si>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</si>
  <si>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</si>
  <si>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</si>
  <si>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</si>
  <si>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</si>
  <si>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</si>
  <si>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</si>
  <si>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</si>
  <si>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</si>
  <si>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</si>
  <si>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</si>
  <si>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</si>
  <si>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</si>
  <si>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</si>
  <si>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</si>
  <si>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</si>
  <si>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</si>
  <si>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</si>
  <si>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</si>
  <si>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</si>
  <si>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</si>
  <si>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</si>
  <si>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</si>
  <si>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</si>
  <si>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</si>
  <si>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</si>
  <si>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</si>
  <si>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</si>
  <si>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</si>
  <si>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</si>
  <si>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</si>
  <si>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</si>
  <si>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</si>
  <si>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</si>
  <si>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</si>
  <si>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</si>
  <si>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</si>
  <si>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</si>
  <si>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</si>
  <si>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</si>
  <si>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</si>
  <si>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</si>
  <si>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</si>
  <si>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</si>
  <si>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</si>
  <si>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</si>
  <si>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</si>
  <si>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</si>
  <si>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</si>
  <si>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</si>
  <si>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</si>
  <si>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</si>
  <si>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</si>
  <si>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</si>
  <si>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</si>
  <si>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</si>
  <si>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</si>
  <si>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</si>
  <si>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</si>
  <si>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</si>
  <si>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</si>
  <si>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</si>
  <si>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</si>
  <si>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</si>
  <si>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</si>
  <si>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</si>
  <si>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</si>
  <si>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</si>
  <si>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</si>
  <si>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</si>
  <si>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</si>
  <si>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</si>
  <si>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</si>
  <si>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</si>
  <si>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</si>
  <si>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</si>
  <si>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</si>
  <si>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</si>
  <si>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</si>
  <si>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</si>
  <si>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</si>
  <si>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</si>
  <si>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</si>
  <si>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</si>
  <si>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</si>
  <si>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</si>
  <si>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</si>
  <si>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</si>
  <si>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</si>
  <si>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</si>
  <si>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</si>
  <si>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</si>
  <si>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</si>
  <si>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</si>
  <si>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</si>
  <si>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</si>
  <si>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</si>
  <si>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</si>
  <si>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</si>
  <si>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</si>
  <si>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</si>
  <si>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</si>
  <si>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</si>
  <si>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</si>
  <si>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</si>
  <si>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</si>
  <si>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</si>
  <si>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</si>
  <si>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</si>
  <si>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</si>
  <si>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</si>
  <si>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</si>
  <si>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</si>
  <si>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</si>
  <si>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</si>
  <si>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</si>
  <si>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</si>
  <si>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</si>
  <si>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</si>
  <si>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</si>
  <si>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</si>
  <si>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</si>
  <si>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</si>
  <si>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</si>
  <si>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</si>
  <si>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</si>
  <si>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</si>
  <si>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</si>
  <si>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</si>
  <si>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</si>
  <si>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</si>
  <si>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</si>
  <si>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</si>
  <si>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</si>
  <si>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</si>
  <si>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</si>
  <si>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</si>
  <si>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</si>
  <si>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</si>
  <si>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</si>
  <si>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</si>
  <si>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</si>
  <si>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</si>
  <si>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</si>
  <si>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</si>
  <si>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</si>
  <si>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</si>
  <si>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</si>
  <si>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</si>
  <si>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</si>
  <si>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</si>
  <si>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</si>
  <si>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</si>
  <si>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</si>
  <si>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</si>
  <si>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</si>
  <si>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</si>
  <si>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</si>
  <si>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</si>
  <si>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</si>
  <si>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</si>
  <si>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</si>
  <si>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</si>
  <si>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</si>
  <si>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</si>
  <si>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</si>
  <si>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</si>
  <si>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</si>
  <si>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</si>
  <si>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</si>
  <si>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</si>
  <si>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</si>
  <si>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</si>
  <si>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</si>
  <si>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</si>
  <si>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</si>
  <si>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</si>
  <si>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</si>
  <si>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</si>
  <si>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</si>
  <si>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</si>
  <si>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</si>
  <si>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</si>
  <si>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</si>
  <si>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</si>
  <si>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</si>
  <si>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</si>
  <si>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</si>
  <si>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</si>
  <si>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</si>
  <si>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</si>
  <si>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</si>
  <si>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</si>
  <si>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</si>
  <si>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</si>
  <si>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</si>
  <si>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</si>
  <si>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</si>
  <si>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</si>
  <si>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</si>
  <si>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</si>
  <si>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</si>
  <si>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</si>
  <si>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</si>
  <si>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</si>
  <si>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</si>
  <si>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</si>
  <si>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</si>
  <si>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</si>
  <si>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</si>
  <si>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</si>
  <si>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</si>
  <si>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</si>
  <si>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</si>
  <si>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</si>
  <si>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</si>
  <si>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</si>
  <si>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</si>
  <si>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</si>
  <si>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</si>
  <si>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</si>
  <si>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</si>
  <si>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</si>
  <si>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</si>
  <si>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</si>
  <si>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</si>
  <si>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</si>
  <si>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</si>
  <si>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</si>
  <si>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</si>
  <si>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</si>
  <si>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</si>
  <si>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</si>
  <si>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</si>
  <si>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</si>
  <si>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</si>
  <si>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</si>
  <si>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</si>
  <si>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</si>
  <si>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</si>
  <si>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</si>
  <si>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</si>
  <si>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</si>
  <si>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</si>
  <si>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</si>
  <si>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</si>
  <si>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</si>
  <si>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</si>
  <si>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</si>
  <si>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</si>
  <si>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</si>
  <si>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</si>
  <si>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</si>
  <si>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</si>
  <si>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</si>
  <si>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</si>
  <si>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</si>
  <si>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</si>
  <si>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</si>
  <si>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</si>
  <si>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</si>
  <si>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</si>
  <si>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</si>
  <si>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</si>
  <si>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</si>
  <si>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</si>
  <si>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</si>
  <si>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</si>
  <si>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</si>
  <si>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</si>
  <si>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</si>
  <si>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</si>
  <si>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</si>
  <si>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</si>
  <si>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</si>
  <si>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</si>
  <si>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</si>
  <si>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</si>
  <si>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</si>
  <si>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</si>
  <si>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</si>
  <si>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</si>
  <si>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</si>
  <si>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</si>
  <si>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</si>
  <si>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</si>
  <si>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</si>
  <si>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</si>
  <si>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</si>
  <si>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</si>
  <si>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</si>
  <si>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</si>
  <si>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</si>
  <si>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</si>
  <si>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</si>
  <si>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</si>
  <si>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</si>
  <si>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</si>
  <si>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</si>
  <si>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</si>
  <si>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</si>
  <si>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</si>
  <si>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</si>
  <si>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</si>
  <si>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</si>
  <si>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</si>
  <si>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</si>
  <si>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</si>
  <si>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</si>
  <si>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</si>
  <si>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</si>
  <si>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</si>
  <si>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</si>
  <si>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</si>
  <si>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</si>
  <si>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</si>
  <si>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</si>
  <si>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</si>
  <si>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</si>
  <si>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</si>
  <si>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</si>
  <si>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</si>
  <si>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</si>
  <si>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</si>
  <si>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</si>
  <si>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</si>
  <si>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</si>
  <si>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</si>
  <si>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</si>
  <si>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</si>
  <si>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</si>
  <si>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</si>
  <si>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</si>
  <si>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</si>
  <si>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</si>
  <si>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</si>
  <si>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</si>
  <si>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</si>
  <si>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</si>
  <si>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</si>
  <si>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</si>
  <si>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</si>
  <si>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</si>
  <si>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</si>
  <si>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</si>
  <si>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</si>
  <si>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</si>
  <si>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</si>
  <si>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</si>
  <si>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</si>
  <si>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</si>
  <si>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</si>
  <si>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</si>
  <si>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</si>
  <si>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</si>
  <si>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</si>
  <si>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</si>
  <si>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</si>
  <si>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</si>
  <si>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</si>
  <si>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</si>
  <si>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</si>
  <si>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</si>
  <si>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</si>
  <si>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</si>
  <si>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</si>
  <si>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</si>
  <si>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</si>
  <si>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</si>
  <si>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</si>
  <si>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</si>
  <si>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</si>
  <si>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</si>
  <si>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</si>
  <si>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</si>
  <si>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</si>
  <si>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</si>
  <si>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</si>
  <si>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</si>
  <si>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</si>
  <si>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</si>
  <si>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</si>
  <si>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</si>
  <si>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</si>
  <si>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</si>
  <si>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</si>
  <si>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</si>
  <si>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</si>
  <si>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</si>
  <si>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</si>
  <si>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</si>
  <si>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</si>
  <si>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</si>
  <si>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</si>
  <si>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</si>
  <si>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</si>
  <si>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</si>
  <si>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</si>
  <si>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</si>
  <si>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</si>
  <si>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</si>
  <si>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</si>
  <si>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</si>
  <si>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</si>
  <si>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</si>
  <si>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</si>
  <si>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</si>
  <si>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</si>
  <si>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</si>
  <si>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</si>
  <si>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</si>
  <si>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</si>
  <si>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</si>
  <si>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</si>
  <si>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</si>
  <si>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</si>
  <si>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</si>
  <si>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</si>
  <si>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</si>
  <si>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</si>
  <si>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</si>
  <si>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</si>
  <si>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</si>
  <si>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</si>
  <si>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</si>
  <si>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</si>
  <si>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</si>
  <si>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</si>
  <si>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</si>
  <si>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</si>
  <si>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</si>
  <si>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</si>
  <si>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</si>
  <si>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</si>
  <si>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</si>
  <si>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</si>
  <si>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</si>
  <si>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</si>
  <si>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</si>
  <si>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</si>
  <si>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</si>
  <si>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</si>
  <si>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</si>
  <si>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</si>
  <si>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</si>
  <si>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</si>
  <si>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</si>
  <si>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</si>
  <si>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</si>
  <si>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</si>
  <si>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</si>
  <si>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</si>
  <si>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</si>
  <si>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</si>
  <si>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</si>
  <si>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</si>
  <si>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</si>
  <si>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</si>
  <si>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</si>
  <si>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</si>
  <si>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</si>
  <si>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</si>
  <si>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</si>
  <si>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</si>
  <si>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</si>
  <si>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</si>
  <si>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</si>
  <si>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</si>
  <si>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</si>
  <si>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</si>
  <si>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</si>
  <si>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</si>
  <si>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</si>
  <si>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</si>
  <si>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</si>
  <si>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</si>
  <si>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</si>
  <si>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</si>
  <si>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</si>
  <si>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</si>
  <si>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</si>
  <si>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</si>
  <si>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</si>
  <si>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</si>
  <si>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</si>
  <si>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</si>
  <si>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</si>
  <si>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</si>
  <si>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</si>
  <si>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</si>
  <si>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</si>
  <si>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</si>
  <si>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</si>
  <si>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</si>
  <si>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</si>
  <si>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</si>
  <si>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</si>
  <si>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</si>
  <si>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</si>
  <si>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</si>
  <si>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</si>
  <si>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</si>
  <si>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</si>
  <si>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</si>
  <si>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</si>
  <si>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</si>
  <si>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</si>
  <si>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</si>
  <si>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</si>
  <si>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</si>
  <si>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</si>
  <si>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</si>
  <si>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</si>
  <si>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</si>
  <si>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</si>
  <si>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</si>
  <si>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</si>
  <si>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</si>
  <si>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</si>
  <si>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</si>
  <si>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</si>
  <si>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</si>
  <si>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</si>
  <si>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</si>
  <si>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</si>
  <si>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</si>
  <si>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</si>
  <si>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</si>
  <si>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</si>
  <si>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</si>
  <si>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</si>
  <si>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</si>
  <si>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</si>
  <si>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</si>
  <si>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</si>
  <si>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</si>
  <si>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</si>
  <si>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</si>
  <si>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</si>
  <si>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</si>
  <si>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</si>
  <si>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</si>
  <si>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</si>
  <si>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</si>
  <si>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</si>
  <si>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</si>
  <si>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</si>
  <si>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</si>
  <si>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</si>
  <si>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</si>
  <si>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</si>
  <si>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</si>
  <si>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</si>
  <si>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</si>
  <si>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</si>
  <si>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</si>
  <si>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</si>
  <si>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</si>
  <si>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</si>
  <si>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</si>
  <si>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</si>
  <si>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</si>
  <si>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</si>
  <si>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</si>
  <si>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</si>
  <si>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</si>
  <si>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</si>
  <si>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</si>
  <si>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</si>
  <si>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</si>
  <si>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</si>
  <si>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</si>
  <si>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</si>
  <si>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</si>
  <si>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</si>
  <si>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</si>
  <si>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</si>
  <si>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</si>
  <si>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</si>
  <si>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</si>
  <si>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</si>
  <si>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</si>
  <si>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</si>
  <si>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</si>
  <si>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</si>
  <si>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</si>
  <si>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</si>
  <si>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</si>
  <si>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</si>
  <si>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</si>
  <si>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</si>
  <si>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</si>
  <si>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</si>
  <si>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</si>
  <si>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</si>
  <si>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</si>
  <si>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</si>
  <si>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</si>
  <si>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</si>
  <si>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</si>
  <si>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</si>
  <si>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</si>
  <si>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</si>
  <si>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</si>
  <si>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</si>
  <si>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</si>
  <si>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</si>
  <si>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</si>
  <si>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</si>
  <si>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</si>
  <si>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</si>
  <si>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</si>
  <si>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</si>
  <si>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</si>
  <si>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</si>
  <si>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</si>
  <si>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</si>
  <si>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</si>
  <si>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</si>
  <si>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</si>
  <si>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</si>
  <si>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</si>
  <si>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</si>
  <si>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</si>
  <si>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</si>
  <si>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</si>
  <si>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</si>
  <si>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</si>
  <si>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</si>
  <si>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</si>
  <si>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</si>
  <si>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</si>
  <si>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</si>
  <si>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</si>
  <si>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</si>
  <si>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</si>
  <si>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</si>
  <si>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</si>
  <si>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</si>
  <si>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</si>
  <si>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</si>
  <si>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</si>
  <si>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</si>
  <si>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</si>
  <si>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</si>
  <si>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</si>
  <si>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</si>
  <si>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</si>
  <si>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</si>
  <si>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</si>
  <si>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</si>
  <si>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</si>
  <si>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</si>
  <si>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</si>
  <si>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</si>
  <si>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</si>
  <si>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</si>
  <si>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</si>
  <si>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</si>
  <si>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</si>
  <si>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</si>
  <si>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</si>
  <si>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</si>
  <si>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</si>
  <si>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</si>
  <si>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</si>
  <si>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</si>
  <si>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</si>
  <si>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</si>
  <si>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</si>
  <si>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</si>
  <si>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</si>
  <si>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</si>
  <si>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</si>
  <si>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</si>
  <si>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</si>
  <si>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</si>
  <si>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</si>
  <si>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</si>
  <si>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</si>
  <si>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</si>
  <si>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</si>
  <si>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</si>
  <si>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</si>
  <si>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</si>
  <si>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</si>
  <si>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</si>
  <si>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</si>
  <si>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</si>
  <si>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</si>
  <si>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</si>
  <si>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</si>
  <si>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</si>
  <si>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</si>
  <si>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</si>
  <si>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</si>
  <si>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</si>
  <si>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</si>
  <si>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</si>
  <si>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</si>
  <si>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</si>
  <si>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</si>
  <si>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</si>
  <si>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</si>
  <si>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</si>
  <si>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</si>
  <si>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</si>
  <si>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</si>
  <si>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</si>
  <si>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</si>
  <si>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</si>
  <si>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</si>
  <si>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</si>
  <si>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</si>
  <si>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</si>
  <si>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</si>
  <si>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</si>
  <si>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</si>
  <si>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</si>
  <si>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</si>
  <si>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</si>
  <si>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</si>
  <si>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</si>
  <si>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</si>
  <si>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</si>
  <si>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</si>
  <si>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</si>
  <si>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</si>
  <si>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</si>
  <si>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</si>
  <si>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</si>
  <si>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</si>
  <si>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</si>
  <si>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</si>
  <si>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</si>
  <si>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</si>
  <si>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</si>
  <si>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</si>
  <si>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</si>
  <si>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</si>
  <si>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</si>
  <si>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</si>
  <si>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</si>
  <si>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</si>
  <si>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</si>
  <si>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</si>
  <si>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</si>
  <si>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</si>
  <si>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</si>
  <si>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</si>
  <si>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</si>
  <si>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</si>
  <si>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</si>
  <si>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</si>
  <si>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</si>
  <si>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</si>
  <si>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</si>
  <si>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</si>
  <si>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</si>
  <si>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</si>
  <si>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</si>
  <si>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</si>
  <si>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</si>
  <si>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</si>
  <si>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</si>
  <si>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</si>
  <si>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</si>
  <si>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</si>
  <si>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</si>
  <si>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</si>
  <si>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</si>
  <si>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</si>
  <si>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</si>
  <si>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</si>
  <si>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</si>
  <si>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</si>
  <si>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</si>
  <si>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</si>
  <si>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</si>
  <si>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</si>
  <si>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</si>
  <si>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</si>
  <si>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</si>
  <si>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</si>
  <si>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</si>
  <si>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</si>
  <si>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</si>
  <si>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</si>
  <si>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</si>
  <si>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</si>
  <si>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</si>
  <si>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</si>
  <si>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</si>
  <si>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</si>
  <si>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</si>
  <si>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</si>
  <si>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</si>
  <si>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</si>
  <si>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</si>
  <si>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</si>
  <si>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</si>
  <si>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</si>
  <si>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</si>
  <si>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</si>
  <si>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</si>
  <si>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</si>
  <si>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</si>
  <si>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</si>
  <si>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</si>
  <si>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</si>
  <si>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</si>
  <si>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</si>
  <si>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</si>
  <si>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</si>
  <si>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</si>
  <si>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</si>
  <si>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</si>
  <si>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</si>
  <si>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</si>
  <si>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</si>
  <si>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</si>
  <si>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</si>
  <si>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</si>
  <si>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</si>
  <si>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</si>
  <si>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</si>
  <si>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</si>
  <si>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</si>
  <si>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</si>
  <si>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</si>
  <si>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</si>
  <si>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</si>
  <si>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</si>
  <si>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</si>
  <si>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</si>
  <si>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</si>
  <si>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</si>
  <si>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</si>
  <si>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</si>
  <si>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</si>
  <si>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</si>
  <si>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</si>
  <si>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</si>
  <si>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</si>
  <si>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</si>
  <si>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</si>
  <si>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</si>
  <si>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</si>
  <si>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</si>
  <si>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</si>
  <si>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</si>
  <si>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</si>
  <si>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</si>
  <si>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</si>
  <si>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</si>
  <si>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</si>
  <si>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</si>
  <si>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</si>
  <si>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</si>
  <si>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</si>
  <si>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</si>
  <si>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</si>
  <si>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</si>
  <si>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</si>
  <si>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</si>
  <si>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</si>
  <si>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</si>
  <si>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</si>
  <si>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</si>
  <si>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</si>
  <si>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</si>
  <si>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</si>
  <si>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</si>
  <si>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</si>
  <si>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</si>
  <si>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</si>
  <si>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</si>
  <si>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</si>
  <si>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</si>
  <si>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</si>
  <si>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</si>
  <si>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</si>
  <si>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</si>
  <si>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</si>
  <si>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</si>
  <si>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</si>
  <si>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</si>
  <si>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</si>
  <si>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</si>
  <si>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</si>
  <si>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</si>
  <si>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</si>
  <si>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</si>
  <si>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</si>
  <si>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</si>
  <si>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</si>
  <si>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</si>
  <si>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</si>
  <si>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</si>
  <si>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</si>
  <si>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</si>
  <si>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</si>
  <si>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</si>
  <si>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</si>
  <si>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</si>
  <si>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</si>
  <si>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</si>
  <si>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</si>
  <si>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</si>
  <si>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</si>
  <si>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</si>
  <si>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</si>
  <si>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</si>
  <si>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</si>
  <si>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</si>
  <si>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</si>
  <si>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</si>
  <si>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</si>
  <si>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</si>
  <si>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</si>
  <si>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</si>
  <si>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</si>
  <si>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</si>
  <si>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</si>
  <si>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</si>
  <si>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</si>
  <si>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</si>
  <si>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</si>
  <si>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</si>
  <si>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</si>
  <si>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</si>
  <si>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</si>
  <si>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</si>
  <si>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</si>
  <si>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</si>
  <si>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</si>
  <si>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</si>
  <si>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</si>
  <si>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</si>
  <si>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</si>
  <si>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</si>
  <si>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</si>
  <si>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</si>
  <si>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</si>
  <si>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</si>
  <si>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</si>
  <si>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</si>
  <si>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</si>
  <si>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</si>
  <si>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</si>
  <si>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</si>
  <si>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</si>
  <si>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</si>
  <si>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</si>
  <si>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</si>
  <si>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</si>
  <si>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</si>
  <si>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</si>
  <si>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</si>
  <si>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</si>
  <si>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</si>
  <si>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</si>
  <si>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</si>
  <si>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</si>
  <si>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</si>
  <si>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</si>
  <si>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</si>
  <si>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</si>
  <si>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</si>
  <si>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</si>
  <si>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</si>
  <si>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</si>
  <si>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</si>
  <si>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</si>
  <si>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</si>
  <si>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</si>
  <si>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</si>
  <si>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</si>
  <si>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</si>
  <si>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</si>
  <si>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</si>
  <si>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</si>
  <si>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</si>
  <si>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</si>
  <si>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</si>
  <si>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</si>
  <si>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</si>
  <si>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</si>
  <si>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</si>
  <si>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</si>
  <si>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</si>
  <si>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</si>
  <si>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</si>
  <si>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</si>
  <si>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</si>
  <si>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</si>
  <si>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</si>
  <si>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</si>
  <si>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</si>
  <si>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</si>
  <si>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</si>
  <si>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</si>
  <si>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</si>
  <si>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</si>
  <si>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</si>
  <si>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</si>
  <si>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</si>
  <si>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</si>
  <si>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</si>
  <si>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</si>
  <si>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</si>
  <si>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</si>
  <si>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</si>
  <si>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</si>
  <si>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</si>
  <si>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</si>
  <si>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</si>
  <si>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</si>
  <si>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</si>
  <si>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</si>
  <si>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</si>
  <si>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</si>
  <si>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</si>
  <si>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</si>
  <si>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</si>
  <si>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</si>
  <si>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</si>
  <si>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</si>
  <si>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</si>
  <si>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</si>
  <si>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</si>
  <si>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</si>
  <si>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</si>
  <si>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</si>
  <si>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</si>
  <si>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</si>
  <si>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</si>
  <si>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</si>
  <si>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</si>
  <si>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</si>
  <si>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</si>
  <si>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</si>
  <si>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</si>
  <si>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</si>
  <si>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</si>
  <si>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</si>
  <si>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</si>
  <si>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</si>
  <si>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</si>
  <si>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</si>
  <si>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</si>
  <si>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</si>
  <si>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</si>
  <si>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</si>
  <si>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</si>
  <si>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</si>
  <si>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</si>
  <si>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</si>
  <si>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</si>
  <si>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</si>
  <si>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</si>
  <si>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</si>
  <si>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</si>
  <si>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</si>
  <si>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</si>
  <si>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</si>
  <si>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</si>
  <si>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</si>
  <si>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</si>
  <si>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</si>
  <si>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</si>
  <si>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</si>
  <si>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</si>
  <si>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</si>
  <si>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</si>
  <si>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</si>
  <si>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</si>
  <si>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</si>
  <si>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</si>
  <si>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</si>
  <si>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</si>
  <si>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</si>
  <si>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</si>
  <si>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</si>
  <si>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</si>
  <si>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</si>
  <si>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</si>
  <si>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</si>
  <si>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</si>
  <si>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</si>
  <si>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</si>
  <si>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</si>
  <si>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</si>
  <si>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</si>
  <si>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</si>
  <si>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</si>
  <si>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</si>
  <si>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</si>
  <si>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</si>
  <si>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</si>
  <si>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</si>
  <si>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</si>
  <si>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</si>
  <si>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</si>
  <si>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</si>
  <si>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</si>
  <si>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</si>
  <si>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</si>
  <si>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</si>
  <si>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</si>
  <si>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</si>
  <si>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</si>
  <si>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</si>
  <si>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</si>
  <si>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</si>
  <si>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</si>
  <si>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</si>
  <si>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</si>
  <si>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</si>
  <si>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</si>
  <si>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</si>
  <si>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</si>
  <si>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</si>
  <si>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</si>
  <si>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</si>
  <si>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</si>
  <si>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</si>
  <si>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</si>
  <si>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</si>
  <si>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</si>
  <si>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</si>
  <si>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</si>
  <si>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</si>
  <si>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</si>
  <si>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</si>
  <si>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</si>
  <si>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</si>
  <si>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</si>
  <si>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</si>
  <si>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</si>
  <si>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</si>
  <si>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</si>
  <si>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</si>
  <si>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</si>
  <si>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</si>
  <si>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</si>
  <si>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</si>
  <si>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</si>
  <si>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</si>
  <si>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</si>
  <si>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</si>
  <si>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</si>
  <si>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</si>
  <si>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</si>
  <si>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</si>
  <si>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</si>
  <si>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</si>
  <si>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</si>
  <si>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</si>
  <si>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</si>
  <si>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</si>
  <si>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</si>
  <si>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</si>
  <si>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</si>
  <si>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</si>
  <si>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</si>
  <si>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</si>
  <si>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</si>
  <si>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</si>
  <si>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</si>
  <si>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</si>
  <si>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</si>
  <si>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</si>
  <si>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</si>
  <si>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</si>
  <si>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</si>
  <si>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</si>
  <si>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</si>
  <si>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</si>
  <si>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</si>
  <si>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</si>
  <si>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</si>
  <si>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</si>
  <si>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</si>
  <si>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</si>
  <si>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</si>
  <si>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</si>
  <si>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</si>
  <si>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</si>
  <si>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</si>
  <si>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</si>
  <si>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</si>
  <si>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</si>
  <si>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</si>
  <si>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</si>
  <si>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</si>
  <si>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</si>
  <si>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</si>
  <si>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</si>
  <si>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</si>
  <si>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</si>
  <si>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</si>
  <si>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</si>
  <si>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</si>
  <si>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</si>
  <si>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</si>
  <si>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</si>
  <si>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</si>
  <si>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</si>
  <si>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</si>
  <si>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</si>
  <si>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</si>
  <si>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</si>
  <si>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</si>
  <si>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</si>
  <si>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</si>
  <si>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</si>
  <si>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</si>
  <si>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</si>
  <si>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</si>
  <si>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</si>
  <si>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</si>
  <si>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</si>
  <si>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</si>
  <si>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</si>
  <si>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</si>
  <si>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</si>
  <si>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</si>
  <si>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</si>
  <si>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</si>
  <si>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</si>
  <si>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</si>
  <si>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</si>
  <si>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</si>
  <si>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</si>
  <si>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</si>
  <si>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</si>
  <si>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</si>
  <si>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</si>
  <si>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</si>
  <si>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</si>
  <si>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</si>
  <si>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</si>
  <si>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</si>
  <si>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</si>
  <si>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</si>
  <si>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</si>
  <si>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</si>
  <si>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</si>
  <si>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</si>
  <si>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</si>
  <si>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</si>
  <si>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</si>
  <si>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</si>
  <si>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</si>
  <si>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</si>
  <si>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</si>
  <si>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</si>
  <si>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</si>
  <si>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</si>
  <si>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</si>
  <si>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</si>
  <si>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</si>
  <si>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</si>
  <si>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</si>
  <si>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</si>
  <si>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</si>
  <si>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</si>
  <si>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</si>
  <si>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</si>
  <si>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</si>
  <si>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</si>
  <si>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</si>
  <si>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</si>
  <si>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</si>
  <si>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</si>
  <si>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</si>
  <si>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</si>
  <si>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</si>
  <si>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</si>
  <si>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</si>
  <si>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</si>
  <si>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</si>
  <si>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</si>
  <si>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</si>
  <si>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</si>
  <si>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</si>
  <si>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</si>
  <si>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</si>
  <si>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</si>
  <si>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</si>
  <si>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</si>
  <si>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</si>
  <si>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</si>
  <si>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</si>
  <si>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</si>
  <si>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</si>
  <si>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</si>
  <si>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</si>
  <si>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</si>
  <si>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</si>
  <si>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</si>
  <si>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</si>
  <si>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</si>
  <si>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</si>
  <si>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</si>
  <si>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</si>
  <si>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</si>
  <si>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</si>
  <si>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</si>
  <si>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</si>
  <si>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</si>
  <si>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</si>
  <si>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</si>
  <si>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</si>
  <si>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</si>
  <si>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</si>
  <si>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</si>
  <si>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</si>
  <si>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</si>
  <si>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</si>
  <si>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</si>
  <si>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</si>
  <si>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</si>
  <si>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</si>
  <si>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</si>
  <si>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</si>
  <si>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</si>
  <si>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</si>
  <si>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</si>
  <si>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</si>
  <si>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</si>
  <si>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</si>
  <si>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</si>
  <si>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</si>
  <si>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</si>
  <si>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</si>
  <si>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</si>
  <si>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</si>
  <si>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</si>
  <si>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</si>
  <si>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</si>
  <si>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</si>
  <si>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</si>
  <si>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</si>
  <si>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</si>
  <si>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</si>
  <si>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</si>
  <si>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</si>
  <si>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</si>
  <si>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</si>
  <si>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</si>
  <si>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</si>
  <si>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</si>
  <si>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</si>
  <si>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</si>
  <si>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</si>
  <si>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</si>
  <si>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</si>
  <si>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</si>
  <si>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</si>
  <si>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</si>
  <si>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</si>
  <si>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</si>
  <si>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</si>
  <si>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</si>
  <si>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</si>
  <si>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</si>
  <si>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</si>
  <si>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</si>
  <si>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</si>
  <si>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</si>
  <si>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</si>
  <si>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</si>
  <si>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</si>
  <si>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</si>
  <si>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</si>
  <si>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</si>
  <si>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</si>
  <si>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</si>
  <si>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</si>
  <si>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</si>
  <si>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</si>
  <si>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</si>
  <si>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</si>
  <si>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</si>
  <si>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</si>
  <si>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</si>
  <si>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</si>
  <si>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</si>
  <si>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</si>
  <si>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</si>
  <si>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</si>
  <si>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</si>
  <si>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</si>
  <si>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</si>
  <si>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</si>
  <si>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</si>
  <si>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</si>
  <si>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</si>
  <si>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</si>
  <si>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</si>
  <si>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</si>
  <si>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</si>
  <si>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</si>
  <si>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</si>
  <si>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</si>
  <si>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</si>
  <si>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</si>
  <si>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</si>
  <si>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</si>
  <si>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</si>
  <si>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</si>
  <si>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</si>
  <si>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</si>
  <si>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</si>
  <si>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</si>
  <si>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</si>
  <si>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</si>
  <si>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</si>
  <si>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</si>
  <si>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</si>
  <si>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</si>
  <si>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</si>
  <si>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</si>
  <si>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</si>
  <si>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</si>
  <si>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</si>
  <si>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</si>
  <si>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</si>
  <si>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</si>
  <si>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</si>
  <si>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</si>
  <si>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</si>
  <si>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</si>
  <si>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</si>
  <si>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</si>
  <si>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</si>
  <si>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</si>
  <si>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</si>
  <si>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</si>
  <si>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</si>
  <si>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</si>
  <si>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</si>
  <si>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</si>
  <si>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</si>
  <si>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</si>
  <si>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</si>
  <si>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</si>
  <si>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</si>
  <si>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</si>
  <si>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</si>
  <si>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</si>
  <si>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</si>
  <si>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</si>
  <si>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</si>
  <si>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</si>
  <si>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</si>
  <si>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</si>
  <si>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</si>
  <si>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</si>
  <si>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</si>
  <si>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</si>
  <si>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</si>
  <si>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</si>
  <si>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</si>
  <si>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</si>
  <si>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</si>
  <si>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</si>
  <si>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</si>
  <si>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</si>
  <si>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</si>
  <si>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</si>
  <si>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</si>
  <si>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</si>
  <si>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</si>
  <si>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</si>
  <si>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</si>
  <si>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</si>
  <si>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</si>
  <si>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</si>
  <si>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</si>
  <si>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</si>
  <si>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</si>
  <si>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</si>
  <si>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</si>
  <si>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</si>
  <si>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</si>
  <si>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</si>
  <si>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</si>
  <si>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</si>
  <si>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</si>
  <si>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</si>
  <si>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</si>
  <si>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</si>
  <si>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</si>
  <si>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</si>
  <si>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</si>
  <si>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</si>
  <si>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</si>
  <si>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</si>
  <si>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</si>
  <si>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</si>
  <si>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</si>
  <si>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</si>
  <si>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</si>
  <si>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</si>
  <si>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</si>
  <si>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</si>
  <si>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</si>
  <si>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</si>
  <si>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</si>
  <si>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</si>
  <si>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</si>
  <si>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</si>
  <si>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</si>
  <si>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</si>
  <si>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</si>
  <si>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</si>
  <si>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</si>
  <si>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</si>
  <si>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</si>
  <si>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</si>
  <si>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</si>
  <si>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</si>
  <si>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</si>
  <si>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</si>
  <si>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</si>
  <si>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</si>
  <si>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</si>
  <si>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</si>
  <si>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</si>
  <si>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</si>
  <si>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</si>
  <si>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</si>
  <si>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</si>
  <si>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</si>
  <si>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</si>
  <si>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</si>
  <si>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</si>
  <si>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</si>
  <si>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</si>
  <si>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</si>
  <si>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</si>
  <si>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</si>
  <si>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</si>
  <si>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</si>
  <si>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</si>
  <si>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</si>
  <si>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</si>
  <si>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</si>
  <si>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</si>
  <si>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</si>
  <si>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</si>
  <si>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</si>
  <si>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</si>
  <si>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</si>
  <si>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</si>
  <si>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</si>
  <si>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</si>
  <si>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</si>
  <si>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</si>
  <si>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</si>
  <si>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</si>
  <si>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</si>
  <si>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</si>
  <si>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</si>
  <si>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</si>
  <si>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</si>
  <si>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</si>
  <si>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</si>
  <si>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</si>
  <si>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</si>
  <si>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</si>
  <si>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</si>
  <si>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</si>
  <si>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</si>
  <si>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</si>
  <si>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</si>
  <si>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</si>
  <si>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</si>
  <si>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</si>
  <si>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</si>
  <si>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</si>
  <si>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</si>
  <si>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</si>
  <si>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</si>
  <si>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</si>
  <si>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</si>
  <si>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</si>
  <si>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</si>
  <si>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</si>
  <si>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</si>
  <si>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</si>
  <si>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</si>
  <si>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</si>
  <si>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</si>
  <si>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</si>
  <si>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</si>
  <si>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</si>
  <si>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</si>
  <si>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</si>
  <si>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</si>
  <si>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</si>
  <si>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</si>
  <si>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</si>
  <si>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</si>
  <si>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</si>
  <si>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</si>
  <si>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</si>
  <si>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</si>
  <si>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</si>
  <si>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</si>
  <si>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</si>
  <si>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</si>
  <si>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</si>
  <si>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</si>
  <si>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</si>
  <si>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</si>
  <si>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</si>
  <si>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</si>
  <si>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</si>
  <si>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</si>
  <si>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</si>
  <si>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</si>
  <si>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</si>
  <si>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</si>
  <si>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</si>
  <si>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</si>
  <si>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</si>
  <si>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</si>
  <si>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</si>
  <si>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</si>
  <si>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</si>
  <si>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</si>
  <si>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</si>
  <si>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</si>
  <si>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</si>
  <si>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</si>
  <si>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</si>
  <si>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</si>
  <si>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</si>
  <si>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</si>
  <si>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</si>
  <si>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</si>
  <si>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</si>
  <si>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</si>
  <si>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</si>
  <si>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</si>
  <si>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</si>
  <si>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</si>
  <si>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</si>
  <si>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</si>
  <si>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</si>
  <si>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</si>
  <si>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</si>
  <si>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</si>
  <si>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</si>
  <si>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</si>
  <si>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</si>
  <si>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</si>
  <si>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</si>
  <si>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</si>
  <si>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</si>
  <si>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</si>
  <si>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</si>
  <si>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</si>
  <si>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</si>
  <si>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</si>
  <si>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</si>
  <si>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</si>
  <si>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</si>
  <si>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</si>
  <si>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</si>
  <si>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</si>
  <si>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</si>
  <si>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</si>
  <si>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</si>
  <si>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</si>
  <si>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</si>
  <si>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</si>
  <si>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</si>
  <si>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</si>
  <si>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</si>
  <si>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</si>
  <si>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</si>
  <si>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</si>
  <si>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</si>
  <si>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</si>
  <si>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</si>
  <si>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</si>
  <si>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</si>
  <si>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</si>
  <si>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</si>
  <si>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</si>
  <si>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</si>
  <si>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</si>
  <si>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</si>
  <si>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</si>
  <si>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</si>
  <si>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</si>
  <si>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</si>
  <si>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</si>
  <si>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</si>
  <si>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</si>
  <si>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</si>
  <si>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</si>
  <si>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</si>
  <si>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</si>
  <si>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</si>
  <si>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</si>
  <si>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</si>
  <si>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</si>
  <si>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</si>
  <si>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</si>
  <si>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</si>
  <si>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</si>
  <si>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</si>
  <si>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</si>
  <si>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</si>
  <si>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</si>
  <si>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</si>
  <si>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</si>
  <si>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</si>
  <si>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</si>
  <si>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</si>
  <si>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</si>
  <si>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</si>
  <si>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</si>
  <si>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</si>
  <si>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</si>
  <si>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</si>
  <si>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</si>
  <si>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</si>
  <si>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</si>
  <si>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</si>
  <si>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</si>
  <si>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</si>
  <si>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</si>
  <si>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</si>
  <si>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</si>
  <si>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</si>
  <si>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</si>
  <si>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</si>
  <si>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</si>
  <si>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</si>
  <si>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</si>
  <si>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</si>
  <si>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</si>
  <si>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</si>
  <si>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</si>
  <si>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</si>
  <si>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</si>
  <si>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</si>
  <si>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</si>
  <si>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</si>
  <si>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</si>
  <si>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</si>
  <si>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</si>
  <si>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</si>
  <si>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</si>
  <si>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</si>
  <si>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</si>
  <si>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</si>
  <si>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</si>
  <si>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</si>
  <si>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</si>
  <si>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</si>
  <si>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</si>
  <si>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</si>
  <si>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</si>
  <si>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</si>
  <si>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</si>
  <si>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</si>
  <si>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</si>
  <si>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</si>
  <si>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</si>
  <si>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</si>
  <si>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</si>
  <si>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</si>
  <si>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</si>
  <si>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</si>
  <si>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</si>
  <si>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</si>
  <si>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</si>
  <si>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</si>
  <si>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</si>
  <si>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</si>
  <si>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</si>
  <si>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</si>
  <si>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</si>
  <si>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</si>
  <si>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</si>
  <si>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</si>
  <si>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</si>
  <si>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</si>
  <si>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</si>
  <si>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</si>
  <si>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</si>
  <si>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</si>
  <si>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</si>
  <si>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</si>
  <si>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</si>
  <si>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</si>
  <si>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</si>
  <si>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</si>
  <si>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</si>
  <si>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</si>
  <si>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</si>
  <si>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</si>
  <si>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</si>
  <si>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</si>
  <si>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</si>
  <si>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</si>
  <si>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</si>
  <si>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</si>
  <si>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</si>
  <si>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</si>
  <si>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</si>
  <si>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</si>
  <si>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</si>
  <si>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</si>
  <si>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</si>
  <si>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</si>
  <si>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</si>
  <si>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</si>
  <si>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</si>
  <si>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</si>
  <si>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</si>
  <si>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</si>
  <si>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</si>
  <si>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</si>
  <si>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</si>
  <si>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</si>
  <si>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</si>
  <si>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</si>
  <si>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</si>
  <si>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</si>
  <si>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</si>
  <si>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</si>
  <si>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</si>
  <si>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</si>
  <si>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</si>
  <si>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</si>
  <si>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</si>
  <si>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</si>
  <si>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</si>
  <si>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</si>
  <si>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</si>
  <si>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</si>
  <si>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</si>
  <si>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</si>
  <si>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</si>
  <si>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</si>
  <si>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</si>
  <si>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</si>
  <si>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</si>
  <si>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</si>
  <si>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</si>
  <si>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</si>
  <si>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</si>
  <si>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</si>
  <si>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</si>
  <si>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</si>
  <si>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</si>
  <si>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</si>
  <si>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</si>
  <si>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</si>
  <si>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</si>
  <si>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</si>
  <si>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</si>
  <si>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</si>
  <si>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</si>
  <si>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</si>
  <si>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</si>
  <si>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</si>
  <si>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</si>
  <si>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</si>
  <si>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</si>
  <si>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</si>
  <si>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</si>
  <si>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</si>
  <si>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</si>
  <si>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</si>
  <si>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</si>
  <si>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</si>
  <si>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</si>
  <si>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</si>
  <si>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</si>
  <si>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</si>
  <si>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</si>
  <si>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</si>
  <si>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</si>
  <si>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</si>
  <si>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</si>
  <si>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</si>
  <si>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</si>
  <si>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</si>
  <si>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</si>
  <si>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</si>
  <si>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</si>
  <si>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</si>
  <si>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</si>
  <si>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</si>
  <si>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</si>
  <si>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</si>
  <si>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</si>
  <si>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</si>
  <si>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</si>
  <si>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</si>
  <si>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</si>
  <si>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</si>
  <si>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</si>
  <si>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</si>
  <si>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</si>
  <si>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</si>
  <si>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</si>
  <si>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</si>
  <si>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</si>
  <si>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</si>
  <si>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</si>
  <si>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</si>
  <si>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</si>
  <si>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</si>
  <si>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</si>
  <si>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</si>
  <si>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</si>
  <si>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</si>
  <si>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</si>
  <si>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</si>
  <si>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</si>
  <si>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</si>
  <si>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</si>
  <si>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</si>
  <si>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</si>
  <si>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</si>
  <si>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</si>
  <si>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</si>
  <si>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</si>
  <si>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</si>
  <si>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</si>
  <si>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</si>
  <si>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</si>
  <si>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</si>
  <si>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</si>
  <si>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</si>
  <si>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</si>
  <si>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</si>
  <si>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</si>
  <si>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</si>
  <si>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</si>
  <si>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</si>
  <si>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</si>
  <si>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</si>
  <si>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</si>
  <si>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</si>
  <si>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</si>
  <si>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</si>
  <si>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</si>
  <si>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</si>
  <si>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</si>
  <si>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</si>
  <si>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</si>
  <si>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</si>
  <si>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</si>
  <si>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</si>
  <si>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</si>
  <si>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</si>
  <si>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</si>
  <si>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</si>
  <si>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</si>
  <si>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</si>
  <si>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</si>
  <si>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</si>
  <si>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</si>
  <si>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</si>
  <si>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</si>
  <si>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</si>
  <si>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</si>
  <si>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</si>
  <si>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</si>
  <si>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</si>
  <si>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</si>
  <si>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</si>
  <si>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</si>
  <si>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</si>
  <si>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</si>
  <si>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</si>
  <si>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</si>
  <si>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</si>
  <si>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</si>
  <si>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</si>
  <si>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</si>
  <si>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</si>
  <si>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</si>
  <si>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</si>
  <si>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</si>
  <si>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</si>
  <si>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</si>
  <si>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</si>
  <si>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</si>
  <si>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</si>
  <si>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</si>
  <si>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</si>
  <si>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</si>
  <si>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</si>
  <si>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</si>
  <si>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</si>
  <si>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</si>
  <si>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</si>
  <si>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</si>
  <si>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</si>
  <si>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</si>
  <si>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</si>
  <si>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</si>
  <si>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</si>
  <si>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</si>
  <si>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</si>
  <si>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</si>
  <si>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</si>
  <si>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</si>
  <si>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</si>
  <si>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</si>
  <si>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</si>
  <si>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</si>
  <si>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</si>
  <si>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</si>
  <si>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</si>
  <si>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</si>
  <si>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</si>
  <si>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</si>
  <si>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</si>
  <si>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</si>
  <si>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</si>
  <si>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</si>
  <si>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</si>
  <si>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</si>
  <si>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</si>
  <si>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</si>
  <si>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</si>
  <si>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</si>
  <si>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</si>
  <si>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</si>
  <si>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</si>
  <si>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</si>
  <si>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</si>
  <si>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</si>
  <si>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</si>
  <si>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</si>
  <si>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</si>
  <si>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</si>
  <si>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</si>
  <si>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</si>
  <si>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</si>
  <si>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</si>
  <si>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</si>
  <si>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</si>
  <si>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</si>
  <si>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</si>
  <si>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</si>
  <si>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</si>
  <si>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</si>
  <si>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</si>
  <si>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</si>
  <si>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</si>
  <si>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</si>
  <si>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</si>
  <si>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</si>
  <si>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</si>
  <si>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</si>
  <si>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</si>
  <si>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</si>
  <si>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</si>
  <si>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</si>
  <si>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</si>
  <si>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</si>
  <si>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</si>
  <si>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</si>
  <si>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</si>
  <si>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</si>
  <si>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</si>
  <si>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</si>
  <si>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</si>
  <si>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</si>
  <si>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</si>
  <si>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</si>
  <si>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</si>
  <si>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</si>
  <si>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</si>
  <si>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</si>
  <si>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</si>
  <si>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</si>
  <si>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</si>
  <si>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</si>
  <si>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</si>
  <si>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</si>
  <si>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</si>
  <si>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</si>
  <si>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</si>
  <si>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</si>
  <si>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</si>
  <si>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</si>
  <si>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</si>
  <si>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</si>
  <si>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</si>
  <si>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</si>
  <si>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</si>
  <si>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</si>
  <si>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</si>
  <si>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</si>
  <si>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</si>
  <si>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</si>
  <si>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</si>
  <si>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</si>
  <si>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</si>
  <si>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</si>
  <si>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</si>
  <si>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</si>
  <si>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</si>
  <si>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</si>
  <si>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</si>
  <si>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</si>
  <si>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</si>
  <si>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</si>
  <si>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</si>
  <si>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</si>
  <si>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</si>
  <si>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</si>
  <si>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</si>
  <si>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</si>
  <si>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</si>
  <si>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</si>
  <si>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</si>
  <si>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</si>
  <si>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</si>
  <si>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</si>
  <si>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</si>
  <si>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</si>
  <si>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</si>
  <si>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</si>
  <si>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</si>
  <si>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</si>
  <si>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</si>
  <si>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</si>
  <si>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</si>
  <si>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</si>
  <si>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</si>
  <si>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</si>
  <si>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</si>
  <si>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</si>
  <si>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</si>
  <si>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</si>
  <si>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</si>
  <si>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</si>
  <si>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</si>
  <si>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</si>
  <si>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</si>
  <si>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</si>
  <si>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</si>
  <si>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</si>
  <si>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</si>
  <si>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</si>
  <si>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</si>
  <si>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</si>
  <si>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</si>
  <si>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</si>
  <si>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</si>
  <si>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</si>
  <si>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</si>
  <si>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</si>
  <si>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</si>
  <si>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</si>
  <si>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</si>
  <si>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</si>
  <si>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</si>
  <si>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</si>
  <si>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</si>
  <si>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</si>
  <si>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</si>
  <si>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</si>
  <si>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</si>
  <si>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</si>
  <si>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</si>
  <si>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</si>
  <si>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</si>
  <si>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</si>
  <si>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</si>
  <si>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</si>
  <si>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</si>
  <si>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</si>
  <si>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</si>
  <si>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</si>
  <si>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</si>
  <si>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</si>
  <si>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</si>
  <si>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</si>
  <si>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</si>
  <si>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</si>
  <si>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</si>
  <si>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</si>
  <si>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</si>
  <si>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</si>
  <si>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</si>
  <si>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</si>
  <si>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</si>
  <si>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</si>
  <si>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</si>
  <si>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</si>
  <si>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</si>
  <si>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</si>
  <si>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</si>
  <si>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</si>
  <si>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</si>
  <si>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</si>
  <si>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</si>
  <si>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</si>
  <si>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</si>
  <si>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</si>
  <si>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</si>
  <si>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</si>
  <si>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</si>
  <si>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</si>
  <si>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</si>
  <si>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</si>
  <si>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</si>
  <si>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</si>
  <si>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</si>
  <si>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</si>
  <si>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</si>
  <si>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</si>
  <si>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</si>
  <si>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</si>
  <si>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</si>
  <si>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</si>
  <si>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</si>
  <si>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</si>
  <si>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</si>
  <si>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</si>
  <si>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</si>
  <si>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</si>
  <si>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</si>
  <si>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</si>
  <si>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</si>
  <si>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</si>
  <si>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</si>
  <si>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</si>
  <si>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</si>
  <si>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</si>
  <si>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</si>
  <si>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</si>
  <si>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</si>
  <si>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</si>
  <si>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</si>
  <si>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</si>
  <si>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</si>
  <si>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</si>
  <si>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</si>
  <si>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</si>
  <si>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</si>
  <si>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</si>
  <si>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</si>
  <si>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</si>
  <si>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</si>
  <si>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</si>
  <si>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</si>
  <si>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</si>
  <si>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</si>
  <si>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</si>
  <si>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</si>
  <si>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</si>
  <si>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</si>
  <si>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</si>
  <si>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</si>
  <si>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</si>
  <si>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</si>
  <si>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</si>
  <si>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</si>
  <si>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</si>
  <si>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</si>
  <si>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</si>
  <si>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</si>
  <si>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</si>
  <si>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</si>
  <si>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</si>
  <si>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</si>
  <si>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</si>
  <si>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</si>
  <si>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</si>
  <si>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</si>
  <si>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</si>
  <si>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</si>
  <si>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</si>
  <si>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</si>
  <si>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</si>
  <si>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</si>
  <si>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</si>
  <si>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</si>
  <si>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</si>
  <si>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</si>
  <si>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</si>
  <si>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</si>
  <si>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</si>
  <si>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</si>
  <si>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</si>
  <si>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</si>
  <si>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</si>
  <si>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</si>
  <si>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</si>
  <si>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</si>
  <si>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</si>
  <si>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</si>
  <si>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</si>
  <si>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</si>
  <si>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</si>
  <si>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</si>
  <si>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</si>
  <si>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</si>
  <si>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</si>
  <si>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</si>
  <si>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</si>
  <si>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</si>
  <si>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</si>
  <si>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</si>
  <si>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</si>
  <si>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</si>
  <si>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</si>
  <si>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</si>
  <si>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</si>
  <si>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</si>
  <si>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</si>
  <si>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</si>
  <si>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</si>
  <si>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</si>
  <si>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</si>
  <si>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</si>
  <si>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</si>
  <si>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</si>
  <si>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</si>
  <si>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</si>
  <si>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</si>
  <si>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</si>
  <si>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</si>
  <si>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</si>
  <si>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</si>
  <si>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</si>
  <si>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</si>
  <si>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</si>
  <si>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</si>
  <si>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</si>
  <si>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</si>
  <si>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</si>
  <si>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</si>
  <si>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</si>
  <si>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</si>
  <si>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</si>
  <si>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</si>
  <si>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</si>
  <si>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</si>
  <si>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</si>
  <si>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</si>
  <si>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</si>
  <si>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</si>
  <si>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</si>
  <si>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</si>
  <si>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</si>
  <si>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</si>
  <si>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</si>
  <si>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</si>
  <si>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</si>
  <si>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</si>
  <si>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</si>
  <si>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</si>
  <si>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</si>
  <si>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</si>
  <si>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</si>
  <si>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</si>
  <si>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</si>
  <si>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</si>
  <si>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</si>
  <si>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</si>
  <si>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</si>
  <si>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</si>
  <si>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</si>
  <si>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</si>
  <si>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</si>
  <si>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</si>
  <si>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</si>
  <si>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</si>
  <si>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</si>
  <si>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</si>
  <si>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</si>
  <si>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</si>
  <si>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</si>
  <si>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</si>
  <si>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</si>
  <si>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</si>
  <si>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</si>
  <si>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</si>
  <si>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</si>
  <si>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</si>
  <si>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</si>
  <si>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</si>
  <si>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</si>
  <si>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</si>
  <si>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</si>
  <si>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</si>
  <si>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</si>
  <si>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</si>
  <si>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</si>
  <si>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</si>
  <si>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</si>
  <si>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</si>
  <si>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</si>
  <si>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</si>
  <si>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</si>
  <si>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</si>
  <si>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</si>
  <si>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</si>
  <si>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</si>
  <si>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</si>
  <si>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</si>
  <si>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</si>
  <si>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</si>
  <si>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</si>
  <si>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</si>
  <si>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</si>
  <si>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</si>
  <si>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</si>
  <si>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</si>
  <si>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</si>
  <si>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</si>
  <si>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</si>
  <si>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</si>
  <si>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</si>
  <si>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</si>
  <si>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</si>
  <si>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</si>
  <si>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</si>
  <si>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</si>
  <si>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</si>
  <si>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</si>
  <si>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</si>
  <si>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</si>
  <si>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</si>
  <si>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</si>
  <si>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</si>
  <si>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</si>
  <si>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</si>
  <si>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</si>
  <si>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</si>
  <si>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</si>
  <si>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</si>
  <si>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</si>
  <si>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</si>
  <si>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</si>
  <si>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</si>
  <si>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</si>
  <si>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</si>
  <si>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</si>
  <si>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</si>
  <si>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</si>
  <si>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</si>
  <si>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</si>
  <si>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</si>
  <si>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</si>
  <si>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</si>
  <si>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</si>
  <si>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</si>
  <si>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</si>
  <si>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</si>
  <si>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</si>
  <si>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</si>
  <si>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</si>
  <si>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</si>
  <si>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</si>
  <si>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</si>
  <si>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</si>
  <si>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</si>
  <si>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</si>
  <si>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</si>
  <si>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</si>
  <si>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</si>
  <si>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</si>
  <si>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</si>
  <si>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</si>
  <si>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</si>
  <si>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</si>
  <si>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</si>
  <si>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</si>
  <si>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</si>
  <si>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</si>
  <si>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</si>
  <si>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</si>
  <si>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</si>
  <si>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</si>
  <si>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</si>
  <si>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</si>
  <si>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</si>
  <si>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</si>
  <si>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</si>
  <si>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</si>
  <si>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</si>
  <si>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</si>
  <si>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</si>
  <si>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</si>
  <si>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</si>
  <si>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</si>
  <si>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</si>
  <si>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</si>
  <si>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</si>
  <si>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</si>
  <si>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</si>
  <si>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</si>
  <si>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</si>
  <si>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</si>
  <si>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</si>
  <si>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</si>
  <si>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</si>
  <si>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</si>
  <si>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</si>
  <si>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</si>
  <si>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</si>
  <si>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</si>
  <si>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</si>
  <si>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</si>
  <si>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</si>
  <si>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</si>
  <si>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</si>
  <si>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</si>
  <si>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</si>
  <si>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</si>
  <si>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</si>
  <si>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</si>
  <si>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</si>
  <si>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</si>
  <si>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</si>
  <si>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</si>
  <si>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</si>
  <si>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</si>
  <si>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</si>
  <si>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</si>
  <si>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</si>
  <si>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</si>
  <si>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</si>
  <si>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</si>
  <si>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</si>
  <si>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</si>
  <si>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</si>
  <si>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</si>
  <si>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</si>
  <si>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</si>
  <si>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</si>
  <si>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</si>
  <si>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</si>
  <si>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</si>
  <si>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</si>
  <si>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</si>
  <si>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</si>
  <si>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</si>
  <si>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</si>
  <si>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</si>
  <si>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</si>
  <si>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</si>
  <si>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</si>
  <si>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</si>
  <si>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</si>
  <si>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</si>
  <si>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</si>
  <si>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</si>
  <si>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</si>
  <si>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</si>
  <si>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</si>
  <si>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</si>
  <si>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</si>
  <si>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</si>
  <si>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</si>
  <si>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</si>
  <si>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</si>
  <si>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</si>
  <si>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</si>
  <si>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</si>
  <si>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</si>
  <si>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</si>
  <si>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</si>
  <si>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</si>
  <si>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</si>
  <si>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</si>
  <si>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</si>
  <si>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</si>
  <si>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</si>
  <si>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</si>
  <si>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</si>
  <si>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</si>
  <si>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</si>
  <si>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</si>
  <si>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</si>
  <si>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</si>
  <si>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</si>
  <si>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</si>
  <si>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</si>
  <si>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</si>
  <si>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</si>
  <si>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</si>
  <si>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</si>
  <si>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</si>
  <si>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</si>
  <si>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</si>
  <si>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</si>
  <si>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</si>
  <si>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</si>
  <si>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</si>
  <si>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</si>
  <si>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</si>
  <si>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</si>
  <si>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</si>
  <si>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</si>
  <si>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</si>
  <si>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</si>
  <si>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</si>
  <si>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</si>
  <si>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</si>
  <si>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</si>
  <si>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</si>
  <si>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</si>
  <si>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</si>
  <si>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</si>
  <si>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</si>
  <si>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</si>
  <si>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</si>
  <si>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</si>
  <si>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</si>
  <si>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</si>
  <si>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</si>
  <si>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</si>
  <si>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</si>
  <si>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</si>
  <si>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</si>
  <si>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</si>
  <si>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</si>
  <si>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</si>
  <si>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</si>
  <si>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</si>
  <si>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</si>
  <si>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</si>
  <si>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</si>
  <si>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</si>
  <si>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</si>
  <si>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</si>
  <si>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</si>
  <si>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</si>
  <si>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</si>
  <si>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</si>
  <si>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</si>
  <si>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</si>
  <si>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</si>
  <si>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</si>
  <si>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</si>
  <si>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</si>
  <si>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</si>
  <si>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</si>
  <si>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</si>
  <si>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</si>
  <si>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</si>
  <si>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</si>
  <si>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</si>
  <si>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</si>
  <si>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</si>
  <si>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</si>
  <si>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</si>
  <si>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</si>
  <si>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</si>
  <si>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</si>
  <si>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</si>
  <si>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</si>
  <si>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</si>
  <si>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</si>
  <si>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</si>
  <si>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</si>
  <si>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</si>
  <si>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正常</t>
  </si>
  <si>
    <t>30-40（含）</t>
  </si>
  <si>
    <t>一般</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</si>
  <si>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</si>
  <si>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</si>
  <si>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</si>
  <si>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</si>
  <si>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</si>
  <si>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</si>
  <si>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</si>
  <si>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</si>
  <si>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</si>
  <si>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</si>
  <si>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</si>
  <si>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</si>
  <si>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</si>
  <si>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</si>
  <si>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</si>
  <si>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</si>
  <si>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</si>
  <si>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</si>
  <si>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</si>
  <si>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</si>
  <si>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</si>
  <si>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</si>
  <si>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</si>
  <si>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</si>
  <si>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</si>
  <si>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</si>
  <si>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</si>
  <si>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</si>
  <si>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</si>
  <si>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</si>
  <si>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</si>
  <si>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</si>
  <si>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</si>
  <si>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</si>
  <si>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</si>
  <si>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</si>
  <si>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</si>
  <si>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估价对象所在区域公共配套设施齐备</t>
    <phoneticPr fontId="3" type="noConversion"/>
  </si>
  <si>
    <t>估价对象所在区域基础设施水平达到七通</t>
    <phoneticPr fontId="3" type="noConversion"/>
  </si>
  <si>
    <t>西城区后帽胡同23号</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</si>
  <si>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</si>
  <si>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</si>
  <si>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</si>
  <si>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位于展览路商圈，办公楼项目较多，入住率较高，办公集聚程度较好。</t>
    <phoneticPr fontId="3" type="noConversion"/>
  </si>
  <si>
    <t>区域自然环境：北京玉渊潭公园、南礼士路公园、月坛公园；人文环境：、百万庄图书大厦、西城青少年科技馆、首都博物馆；综合评价环境状况好。</t>
    <phoneticPr fontId="3" type="noConversion"/>
  </si>
  <si>
    <t>http://zu.fang.com/house/s31-kw%c8%fd%bd%f8%cb%c4%ba%cf%d4%ba/</t>
  </si>
  <si>
    <t>地上（办公）50年</t>
    <phoneticPr fontId="233" type="noConversion"/>
  </si>
  <si>
    <t>城市主干道——赵登禹路</t>
    <phoneticPr fontId="27" type="noConversion"/>
  </si>
  <si>
    <t>地上商业（40年）</t>
    <phoneticPr fontId="233" type="noConversion"/>
  </si>
  <si>
    <t>需补缴地价款</t>
    <phoneticPr fontId="277" type="noConversion"/>
  </si>
  <si>
    <t>地上（商业）</t>
    <phoneticPr fontId="233" type="noConversion"/>
  </si>
  <si>
    <t>地下（办公）</t>
    <phoneticPr fontId="233" type="noConversion"/>
  </si>
  <si>
    <t>调整用途面积</t>
    <phoneticPr fontId="233" type="noConversion"/>
  </si>
  <si>
    <t>增加面积</t>
    <phoneticPr fontId="233" type="noConversion"/>
  </si>
  <si>
    <t>商业金融</t>
    <phoneticPr fontId="233" type="noConversion"/>
  </si>
  <si>
    <t>商务金融</t>
    <phoneticPr fontId="233" type="noConversion"/>
  </si>
  <si>
    <t>地下商务金融</t>
  </si>
  <si>
    <t>地下商业（40年）</t>
    <phoneticPr fontId="233" type="noConversion"/>
  </si>
  <si>
    <t>地下商务金融</t>
    <phoneticPr fontId="233" type="noConversion"/>
  </si>
  <si>
    <t>--</t>
    <phoneticPr fontId="233" type="noConversion"/>
  </si>
  <si>
    <t>地下（办公）50年</t>
    <phoneticPr fontId="233" type="noConversion"/>
  </si>
  <si>
    <t>已部分缴纳</t>
  </si>
  <si>
    <t>工程进度</t>
  </si>
  <si>
    <t>剩余法-待开发</t>
  </si>
  <si>
    <t>商业金融</t>
    <phoneticPr fontId="233" type="noConversion"/>
  </si>
  <si>
    <t>地下（仓储）</t>
    <phoneticPr fontId="233" type="noConversion"/>
  </si>
  <si>
    <t>2018-4</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</si>
  <si>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</si>
  <si>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2018-3</t>
    <phoneticPr fontId="3" type="noConversion"/>
  </si>
  <si>
    <t>2018-2</t>
    <phoneticPr fontId="3" type="noConversion"/>
  </si>
  <si>
    <t>2018-1</t>
    <phoneticPr fontId="3" type="noConversion"/>
  </si>
  <si>
    <t>地下仓储（40年）</t>
    <phoneticPr fontId="233" type="noConversion"/>
  </si>
  <si>
    <t>地下仓储</t>
    <phoneticPr fontId="233" type="noConversion"/>
  </si>
  <si>
    <t>合计</t>
    <phoneticPr fontId="233" type="noConversion"/>
  </si>
  <si>
    <t>商务金融</t>
    <phoneticPr fontId="233" type="noConversion"/>
  </si>
  <si>
    <t>地下仓储</t>
    <phoneticPr fontId="233" type="noConversion"/>
  </si>
  <si>
    <t>商务金融调整为商业金融</t>
    <phoneticPr fontId="233" type="noConversion"/>
  </si>
  <si>
    <t>地下商务金融调整为地下仓储</t>
    <phoneticPr fontId="233" type="noConversion"/>
  </si>
  <si>
    <t>商业、商务金融用地结构调整之差</t>
    <phoneticPr fontId="233" type="noConversion"/>
  </si>
  <si>
    <t>地下仓储、地下商务用地结构调整之差</t>
    <phoneticPr fontId="233" type="noConversion"/>
  </si>
  <si>
    <t>地上（用地结构调整）</t>
    <phoneticPr fontId="233" type="noConversion"/>
  </si>
  <si>
    <t>地下（用地结构调整）</t>
    <phoneticPr fontId="233" type="noConversion"/>
  </si>
  <si>
    <t>月坛</t>
    <phoneticPr fontId="3" type="noConversion"/>
  </si>
  <si>
    <t>国润大厦</t>
    <phoneticPr fontId="3" type="noConversion"/>
  </si>
  <si>
    <t>20-30（含）</t>
  </si>
  <si>
    <t>城市主干道——阜成门外大街</t>
    <phoneticPr fontId="27" type="noConversion"/>
  </si>
  <si>
    <r>
      <rPr>
        <sz val="11"/>
        <rFont val="宋体"/>
        <family val="3"/>
        <charset val="134"/>
      </rPr>
      <t>案例</t>
    </r>
    <r>
      <rPr>
        <sz val="11"/>
        <rFont val="Arial"/>
        <family val="2"/>
      </rPr>
      <t>A</t>
    </r>
    <r>
      <rPr>
        <sz val="11"/>
        <rFont val="宋体"/>
        <family val="3"/>
        <charset val="134"/>
      </rPr>
      <t>紧邻城市主干道—阜成门外大街，临近西二环路，距首都机场约</t>
    </r>
    <r>
      <rPr>
        <sz val="11"/>
        <rFont val="Arial"/>
        <family val="2"/>
      </rPr>
      <t>28</t>
    </r>
    <r>
      <rPr>
        <sz val="11"/>
        <rFont val="宋体"/>
        <family val="3"/>
        <charset val="134"/>
      </rPr>
      <t>公里、距南苑机场约</t>
    </r>
    <r>
      <rPr>
        <sz val="11"/>
        <rFont val="Arial"/>
        <family val="2"/>
      </rPr>
      <t>16</t>
    </r>
    <r>
      <rPr>
        <sz val="11"/>
        <rFont val="宋体"/>
        <family val="3"/>
        <charset val="134"/>
      </rPr>
      <t>公里、距北京西客站约</t>
    </r>
    <r>
      <rPr>
        <sz val="11"/>
        <rFont val="Arial"/>
        <family val="2"/>
      </rPr>
      <t>7</t>
    </r>
    <r>
      <rPr>
        <sz val="11"/>
        <rFont val="宋体"/>
        <family val="3"/>
        <charset val="134"/>
      </rPr>
      <t>公里，距北京火车站约</t>
    </r>
    <r>
      <rPr>
        <sz val="11"/>
        <rFont val="Arial"/>
        <family val="2"/>
      </rPr>
      <t>7</t>
    </r>
    <r>
      <rPr>
        <sz val="11"/>
        <rFont val="宋体"/>
        <family val="3"/>
        <charset val="134"/>
      </rPr>
      <t>公里、周边有</t>
    </r>
    <r>
      <rPr>
        <sz val="11"/>
        <rFont val="Arial"/>
        <family val="2"/>
      </rPr>
      <t>56</t>
    </r>
    <r>
      <rPr>
        <sz val="11"/>
        <rFont val="宋体"/>
        <family val="3"/>
        <charset val="134"/>
      </rPr>
      <t>路、</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路、路等</t>
    </r>
    <r>
      <rPr>
        <sz val="11"/>
        <rFont val="Arial"/>
        <family val="2"/>
      </rPr>
      <t>20</t>
    </r>
    <r>
      <rPr>
        <sz val="11"/>
        <rFont val="宋体"/>
        <family val="3"/>
        <charset val="134"/>
      </rPr>
      <t>余条公交线路通过，距地铁</t>
    </r>
    <r>
      <rPr>
        <sz val="11"/>
        <rFont val="Arial"/>
        <family val="2"/>
      </rPr>
      <t>2</t>
    </r>
    <r>
      <rPr>
        <sz val="11"/>
        <rFont val="宋体"/>
        <family val="3"/>
        <charset val="134"/>
      </rPr>
      <t>（阜成门站）约</t>
    </r>
    <r>
      <rPr>
        <sz val="11"/>
        <rFont val="Arial"/>
        <family val="2"/>
      </rPr>
      <t>760</t>
    </r>
    <r>
      <rPr>
        <sz val="11"/>
        <rFont val="宋体"/>
        <family val="3"/>
        <charset val="134"/>
      </rPr>
      <t>米</t>
    </r>
    <r>
      <rPr>
        <sz val="11"/>
        <rFont val="宋体"/>
        <family val="3"/>
        <charset val="134"/>
      </rPr>
      <t>，交通便捷度较好。</t>
    </r>
    <phoneticPr fontId="27" type="noConversion"/>
  </si>
  <si>
    <t>城市次干道——月坛北街</t>
  </si>
  <si>
    <t>城市次干道——月坛北街</t>
    <phoneticPr fontId="27" type="noConversion"/>
  </si>
  <si>
    <r>
      <rPr>
        <sz val="11"/>
        <rFont val="宋体"/>
        <family val="3"/>
        <charset val="134"/>
      </rPr>
      <t>案例</t>
    </r>
    <r>
      <rPr>
        <sz val="11"/>
        <rFont val="Arial"/>
        <family val="2"/>
      </rPr>
      <t>C</t>
    </r>
    <r>
      <rPr>
        <sz val="11"/>
        <rFont val="宋体"/>
        <family val="3"/>
        <charset val="134"/>
      </rPr>
      <t>紧邻城市次干道——月坛北街，临近月坛南街，距首都机场约</t>
    </r>
    <r>
      <rPr>
        <sz val="11"/>
        <rFont val="Arial"/>
        <family val="2"/>
      </rPr>
      <t>28</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4</t>
    </r>
    <r>
      <rPr>
        <sz val="11"/>
        <rFont val="宋体"/>
        <family val="3"/>
        <charset val="134"/>
      </rPr>
      <t>公里，距北京南站约</t>
    </r>
    <r>
      <rPr>
        <sz val="11"/>
        <rFont val="Arial"/>
        <family val="2"/>
      </rPr>
      <t>6.5</t>
    </r>
    <r>
      <rPr>
        <sz val="11"/>
        <rFont val="宋体"/>
        <family val="3"/>
        <charset val="134"/>
      </rPr>
      <t>公里、周边有</t>
    </r>
    <r>
      <rPr>
        <sz val="11"/>
        <rFont val="Arial"/>
        <family val="2"/>
      </rPr>
      <t>3</t>
    </r>
    <r>
      <rPr>
        <sz val="11"/>
        <rFont val="宋体"/>
        <family val="3"/>
        <charset val="134"/>
      </rPr>
      <t>路、</t>
    </r>
    <r>
      <rPr>
        <sz val="11"/>
        <rFont val="Arial"/>
        <family val="2"/>
      </rPr>
      <t>13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路等多条公交线路通过，距地铁</t>
    </r>
    <r>
      <rPr>
        <sz val="11"/>
        <rFont val="Arial"/>
        <family val="2"/>
      </rPr>
      <t>2</t>
    </r>
    <r>
      <rPr>
        <sz val="11"/>
        <rFont val="宋体"/>
        <family val="3"/>
        <charset val="134"/>
      </rPr>
      <t>号线（阜成门站）约</t>
    </r>
    <r>
      <rPr>
        <sz val="11"/>
        <rFont val="Arial"/>
        <family val="2"/>
      </rPr>
      <t>710</t>
    </r>
    <r>
      <rPr>
        <sz val="11"/>
        <rFont val="宋体"/>
        <family val="3"/>
        <charset val="134"/>
      </rPr>
      <t>米，交通便捷度较好。</t>
    </r>
    <phoneticPr fontId="27" type="noConversion"/>
  </si>
  <si>
    <t>北京西城区阜成门外大街22号</t>
    <phoneticPr fontId="27" type="noConversion"/>
  </si>
  <si>
    <t>外经贸大厦</t>
    <phoneticPr fontId="3" type="noConversion"/>
  </si>
  <si>
    <t>北京市西城区阜外大街8号</t>
    <phoneticPr fontId="3" type="noConversion"/>
  </si>
  <si>
    <t xml:space="preserve">
北京市西城区月坛北街2号</t>
    <phoneticPr fontId="3" type="noConversion"/>
  </si>
  <si>
    <r>
      <rPr>
        <sz val="11"/>
        <rFont val="宋体"/>
        <family val="3"/>
        <charset val="134"/>
      </rPr>
      <t>案例</t>
    </r>
    <r>
      <rPr>
        <sz val="11"/>
        <rFont val="Arial"/>
        <family val="2"/>
      </rPr>
      <t>B</t>
    </r>
    <r>
      <rPr>
        <sz val="11"/>
        <rFont val="宋体"/>
        <family val="3"/>
        <charset val="134"/>
      </rPr>
      <t>紧邻城市主干道—阜成门外大街，临近西二环路，距首都机场约</t>
    </r>
    <r>
      <rPr>
        <sz val="11"/>
        <rFont val="Arial"/>
        <family val="2"/>
      </rPr>
      <t>28</t>
    </r>
    <r>
      <rPr>
        <sz val="11"/>
        <rFont val="宋体"/>
        <family val="3"/>
        <charset val="134"/>
      </rPr>
      <t>公里、距南苑机场约</t>
    </r>
    <r>
      <rPr>
        <sz val="11"/>
        <rFont val="Arial"/>
        <family val="2"/>
      </rPr>
      <t>16</t>
    </r>
    <r>
      <rPr>
        <sz val="11"/>
        <rFont val="宋体"/>
        <family val="3"/>
        <charset val="134"/>
      </rPr>
      <t>公里、距北京西客站约</t>
    </r>
    <r>
      <rPr>
        <sz val="11"/>
        <rFont val="Arial"/>
        <family val="2"/>
      </rPr>
      <t>7</t>
    </r>
    <r>
      <rPr>
        <sz val="11"/>
        <rFont val="宋体"/>
        <family val="3"/>
        <charset val="134"/>
      </rPr>
      <t>公里，距北京火车站约</t>
    </r>
    <r>
      <rPr>
        <sz val="11"/>
        <rFont val="Arial"/>
        <family val="2"/>
      </rPr>
      <t>7</t>
    </r>
    <r>
      <rPr>
        <sz val="11"/>
        <rFont val="宋体"/>
        <family val="3"/>
        <charset val="134"/>
      </rPr>
      <t>公里、周边有</t>
    </r>
    <r>
      <rPr>
        <sz val="11"/>
        <rFont val="Arial"/>
        <family val="2"/>
      </rPr>
      <t>56</t>
    </r>
    <r>
      <rPr>
        <sz val="11"/>
        <rFont val="宋体"/>
        <family val="3"/>
        <charset val="134"/>
      </rPr>
      <t>路、</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路、路等</t>
    </r>
    <r>
      <rPr>
        <sz val="11"/>
        <rFont val="Arial"/>
        <family val="2"/>
      </rPr>
      <t>20</t>
    </r>
    <r>
      <rPr>
        <sz val="11"/>
        <rFont val="宋体"/>
        <family val="3"/>
        <charset val="134"/>
      </rPr>
      <t>余条公交线路通过，距地铁</t>
    </r>
    <r>
      <rPr>
        <sz val="11"/>
        <rFont val="Arial"/>
        <family val="2"/>
      </rPr>
      <t>2</t>
    </r>
    <r>
      <rPr>
        <sz val="11"/>
        <rFont val="宋体"/>
        <family val="3"/>
        <charset val="134"/>
      </rPr>
      <t>（阜成门站）约</t>
    </r>
    <r>
      <rPr>
        <sz val="11"/>
        <rFont val="Arial"/>
        <family val="2"/>
      </rPr>
      <t>400</t>
    </r>
    <r>
      <rPr>
        <sz val="11"/>
        <rFont val="宋体"/>
        <family val="3"/>
        <charset val="134"/>
      </rPr>
      <t>米，交通便捷度较好。</t>
    </r>
    <phoneticPr fontId="27" type="noConversion"/>
  </si>
  <si>
    <t>城市主干道——阜成门外大街</t>
    <phoneticPr fontId="27" type="noConversion"/>
  </si>
  <si>
    <t>区域自然环境：北京玉渊潭公园、南礼士路公园、月坛公园；人文环境：、百万庄图书大厦、西城青少年科技馆、首都博物馆；综合评价环境状况好。</t>
    <phoneticPr fontId="3" type="noConversion"/>
  </si>
  <si>
    <r>
      <rPr>
        <sz val="11"/>
        <color rgb="FFFF0000"/>
        <rFont val="仿宋_GB2312"/>
        <family val="3"/>
        <charset val="134"/>
      </rPr>
      <t>物业管理</t>
    </r>
    <phoneticPr fontId="26" type="noConversion"/>
  </si>
  <si>
    <t>100/</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</si>
</sst>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
      <sz val="12"/>
      <color rgb="FF000000"/>
      <name val="仿宋_GB2312"/>
      <family val="3"/>
      <charset val="134"/>
    </font>
    <font>
      <b/>
      <sz val="9"/>
      <color indexed="81"/>
      <name val="Tahoma"/>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7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0" fillId="17" borderId="21" xfId="0" applyFill="1" applyBorder="1" applyAlignment="1">
      <alignment horizontal="center" vertical="center" wrapText="1"/>
    </xf>
    <xf numFmtId="0" fontId="0" fillId="17" borderId="3" xfId="0" applyFill="1" applyBorder="1" applyAlignment="1">
      <alignment horizontal="center" vertical="center" wrapText="1"/>
    </xf>
    <xf numFmtId="0" fontId="0" fillId="9" borderId="0" xfId="0" applyFill="1" applyAlignment="1">
      <alignment horizontal="center" vertical="center"/>
    </xf>
    <xf numFmtId="0" fontId="0" fillId="9" borderId="5" xfId="0" applyFill="1" applyBorder="1" applyAlignment="1">
      <alignment horizontal="center" vertical="center"/>
    </xf>
    <xf numFmtId="0" fontId="191" fillId="9" borderId="0" xfId="0" applyFont="1" applyFill="1">
      <alignment vertical="center"/>
    </xf>
    <xf numFmtId="0" fontId="281" fillId="0" borderId="39" xfId="0" applyFont="1" applyFill="1" applyBorder="1" applyAlignment="1">
      <alignment horizontal="center" vertical="center" wrapText="1"/>
    </xf>
    <xf numFmtId="0" fontId="281" fillId="0" borderId="65" xfId="0" applyFont="1" applyFill="1" applyBorder="1" applyAlignment="1">
      <alignment horizontal="center" vertical="center" wrapText="1"/>
    </xf>
    <xf numFmtId="0" fontId="281" fillId="0" borderId="66" xfId="0" applyFont="1" applyFill="1" applyBorder="1" applyAlignment="1">
      <alignment horizontal="center" vertical="center" wrapText="1"/>
    </xf>
    <xf numFmtId="0" fontId="0" fillId="0" borderId="66" xfId="0" applyFill="1" applyBorder="1" applyAlignment="1">
      <alignment vertical="center" wrapText="1"/>
    </xf>
    <xf numFmtId="0" fontId="0" fillId="0" borderId="66" xfId="0" applyFill="1" applyBorder="1" applyAlignment="1">
      <alignment horizontal="center" vertical="center" wrapText="1"/>
    </xf>
    <xf numFmtId="0" fontId="284" fillId="0" borderId="65" xfId="0" applyFont="1" applyFill="1" applyBorder="1" applyAlignment="1">
      <alignment horizontal="center" vertical="center" wrapText="1"/>
    </xf>
    <xf numFmtId="0" fontId="281" fillId="0" borderId="38"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284" fillId="0" borderId="65" xfId="0" applyFont="1" applyFill="1" applyBorder="1" applyAlignment="1">
      <alignment horizontal="center" vertical="center" wrapText="1"/>
    </xf>
    <xf numFmtId="14" fontId="78" fillId="9" borderId="10" xfId="0" applyNumberFormat="1" applyFont="1" applyFill="1" applyBorder="1" applyAlignment="1" applyProtection="1">
      <alignment horizontal="left" vertical="center"/>
      <protection locked="0"/>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65"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4" fontId="243" fillId="14" borderId="0" xfId="13" applyNumberFormat="1" applyFont="1" applyFill="1" applyAlignment="1">
      <alignment horizontal="center" vertical="center"/>
    </xf>
    <xf numFmtId="0" fontId="241" fillId="12" borderId="123" xfId="13"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4" fontId="152" fillId="0" borderId="0" xfId="13" applyNumberFormat="1" applyFont="1" applyAlignment="1">
      <alignment horizontal="center" vertical="center"/>
    </xf>
    <xf numFmtId="0" fontId="241" fillId="12" borderId="152"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7" fontId="152" fillId="0" borderId="0" xfId="13" applyNumberFormat="1" applyFont="1">
      <alignment vertical="center"/>
    </xf>
    <xf numFmtId="0" fontId="152" fillId="0" borderId="0" xfId="13" applyFont="1" applyFill="1">
      <alignment vertical="center"/>
    </xf>
    <xf numFmtId="0" fontId="152" fillId="0" borderId="0" xfId="13" applyFont="1" applyFill="1" applyAlignment="1">
      <alignment horizontal="center" vertical="center"/>
    </xf>
    <xf numFmtId="10" fontId="152" fillId="0" borderId="0" xfId="13" applyNumberFormat="1" applyFont="1" applyFill="1" applyAlignment="1">
      <alignment horizontal="center" vertical="center"/>
    </xf>
    <xf numFmtId="0" fontId="243" fillId="14" borderId="0" xfId="13" applyFont="1" applyFill="1">
      <alignment vertical="center"/>
    </xf>
    <xf numFmtId="183" fontId="71" fillId="9" borderId="62" xfId="0" applyNumberFormat="1" applyFont="1" applyFill="1" applyBorder="1" applyAlignment="1" applyProtection="1">
      <alignment horizontal="center" vertical="center" wrapText="1"/>
      <protection locked="0"/>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protection locked="0"/>
    </xf>
    <xf numFmtId="185" fontId="83" fillId="9" borderId="83" xfId="3" applyNumberFormat="1" applyFont="1" applyFill="1" applyBorder="1" applyAlignment="1" applyProtection="1">
      <alignment horizontal="center" vertical="center" wrapText="1"/>
    </xf>
    <xf numFmtId="0" fontId="106" fillId="9"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71" fillId="6" borderId="64"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5" xfId="0" applyNumberFormat="1" applyFont="1" applyFill="1" applyBorder="1" applyAlignment="1" applyProtection="1">
      <alignment horizontal="center" vertical="center" wrapText="1"/>
    </xf>
    <xf numFmtId="0" fontId="71" fillId="9" borderId="11"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288" fillId="0" borderId="0" xfId="0" applyFont="1">
      <alignment vertical="center"/>
    </xf>
    <xf numFmtId="0" fontId="195" fillId="8" borderId="38" xfId="0" applyFont="1" applyFill="1" applyBorder="1" applyAlignment="1">
      <alignment horizontal="center" vertical="center" wrapText="1"/>
    </xf>
    <xf numFmtId="0" fontId="176" fillId="8" borderId="38" xfId="0" applyFont="1" applyFill="1" applyBorder="1" applyAlignment="1">
      <alignment horizontal="center" vertical="center" wrapText="1"/>
    </xf>
    <xf numFmtId="0" fontId="0" fillId="8" borderId="0" xfId="0" applyFill="1">
      <alignment vertical="center"/>
    </xf>
    <xf numFmtId="0" fontId="195" fillId="8" borderId="54" xfId="0" applyFont="1" applyFill="1" applyBorder="1" applyAlignment="1">
      <alignment vertical="center" wrapText="1"/>
    </xf>
    <xf numFmtId="0" fontId="106" fillId="8" borderId="80" xfId="0" applyFont="1" applyFill="1" applyBorder="1" applyAlignment="1">
      <alignment horizontal="center" vertical="center" wrapText="1"/>
    </xf>
    <xf numFmtId="0" fontId="176" fillId="8" borderId="66" xfId="0" applyFont="1" applyFill="1" applyBorder="1" applyAlignment="1">
      <alignment horizontal="center" vertical="center" wrapText="1"/>
    </xf>
    <xf numFmtId="0" fontId="176" fillId="8" borderId="61" xfId="0" applyFont="1" applyFill="1" applyBorder="1" applyAlignment="1">
      <alignment horizontal="center" vertical="center" wrapText="1"/>
    </xf>
    <xf numFmtId="0" fontId="177" fillId="8" borderId="80" xfId="0" applyFont="1" applyFill="1" applyBorder="1" applyAlignment="1">
      <alignment horizontal="center" vertical="center" wrapText="1"/>
    </xf>
    <xf numFmtId="0" fontId="195" fillId="8" borderId="66" xfId="0" applyFont="1" applyFill="1" applyBorder="1" applyAlignment="1">
      <alignment horizontal="center" vertical="center" wrapText="1"/>
    </xf>
    <xf numFmtId="0" fontId="176" fillId="8" borderId="66" xfId="0" quotePrefix="1" applyFont="1" applyFill="1" applyBorder="1" applyAlignment="1">
      <alignment horizontal="center" vertical="center" wrapText="1"/>
    </xf>
    <xf numFmtId="0" fontId="140" fillId="8" borderId="60" xfId="0" applyFont="1" applyFill="1" applyBorder="1" applyAlignment="1">
      <alignment horizontal="center" vertical="center" wrapText="1"/>
    </xf>
    <xf numFmtId="0" fontId="106" fillId="8" borderId="36" xfId="0" applyFont="1" applyFill="1" applyBorder="1" applyAlignment="1">
      <alignment horizontal="center" vertical="center" wrapText="1"/>
    </xf>
    <xf numFmtId="0" fontId="106" fillId="8" borderId="82" xfId="0" applyFont="1" applyFill="1" applyBorder="1" applyAlignment="1">
      <alignment horizontal="center" vertical="center" wrapText="1"/>
    </xf>
    <xf numFmtId="0" fontId="140" fillId="8" borderId="82" xfId="0" applyFont="1" applyFill="1" applyBorder="1" applyAlignment="1">
      <alignment horizontal="center" vertical="center" wrapText="1"/>
    </xf>
    <xf numFmtId="0" fontId="140" fillId="8" borderId="59" xfId="0" applyFont="1" applyFill="1" applyBorder="1" applyAlignment="1">
      <alignment horizontal="center" vertical="center" wrapText="1"/>
    </xf>
    <xf numFmtId="0" fontId="106" fillId="8" borderId="82" xfId="0" applyFont="1" applyFill="1" applyBorder="1" applyAlignment="1">
      <alignment vertical="center" wrapText="1"/>
    </xf>
    <xf numFmtId="0" fontId="140" fillId="8" borderId="64" xfId="0" applyFont="1" applyFill="1" applyBorder="1" applyAlignment="1">
      <alignment horizontal="center" vertical="center" wrapText="1"/>
    </xf>
    <xf numFmtId="0" fontId="106" fillId="8" borderId="54" xfId="0" applyFont="1" applyFill="1" applyBorder="1" applyAlignment="1">
      <alignment horizontal="center" vertical="center" wrapText="1"/>
    </xf>
    <xf numFmtId="0" fontId="106" fillId="8" borderId="65" xfId="0" applyFont="1" applyFill="1" applyBorder="1" applyAlignment="1">
      <alignment vertical="center" wrapText="1"/>
    </xf>
    <xf numFmtId="0" fontId="106" fillId="8" borderId="66" xfId="0" applyFont="1" applyFill="1" applyBorder="1" applyAlignment="1">
      <alignment vertical="center" wrapText="1"/>
    </xf>
    <xf numFmtId="0" fontId="144" fillId="9" borderId="8" xfId="0" applyNumberFormat="1" applyFont="1" applyFill="1" applyBorder="1" applyAlignment="1" applyProtection="1">
      <alignment horizontal="center" vertical="center" wrapText="1"/>
      <protection locked="0"/>
    </xf>
    <xf numFmtId="0" fontId="144" fillId="9" borderId="64"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205" fillId="5" borderId="24" xfId="0" applyFont="1" applyFill="1" applyBorder="1" applyAlignment="1" applyProtection="1">
      <alignment vertical="center" textRotation="255" wrapText="1"/>
    </xf>
    <xf numFmtId="0" fontId="153" fillId="5" borderId="5" xfId="0" applyFont="1" applyFill="1" applyBorder="1" applyAlignment="1" applyProtection="1">
      <alignment horizontal="center" vertical="center" wrapText="1"/>
    </xf>
    <xf numFmtId="0" fontId="153" fillId="2" borderId="11"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0" fontId="153" fillId="5" borderId="5" xfId="0" applyNumberFormat="1" applyFont="1" applyFill="1" applyBorder="1" applyAlignment="1" applyProtection="1">
      <alignment horizontal="center" vertical="center" wrapText="1"/>
    </xf>
    <xf numFmtId="0" fontId="285" fillId="0" borderId="9" xfId="0" applyNumberFormat="1" applyFont="1" applyFill="1" applyBorder="1" applyAlignment="1" applyProtection="1">
      <alignment horizontal="center" vertical="center" wrapText="1"/>
      <protection locked="0"/>
    </xf>
    <xf numFmtId="181" fontId="153"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horizontal="center" vertical="center"/>
      <protection locked="0"/>
    </xf>
    <xf numFmtId="0" fontId="153" fillId="5" borderId="2" xfId="0" applyFont="1" applyFill="1" applyBorder="1" applyAlignment="1" applyProtection="1">
      <alignment horizontal="center" vertical="center" wrapText="1"/>
    </xf>
    <xf numFmtId="186" fontId="153" fillId="5" borderId="5" xfId="0" applyNumberFormat="1" applyFont="1" applyFill="1" applyBorder="1" applyAlignment="1" applyProtection="1">
      <alignment horizontal="center" vertical="center"/>
    </xf>
    <xf numFmtId="49" fontId="153" fillId="5" borderId="9" xfId="0" applyNumberFormat="1" applyFont="1" applyFill="1" applyBorder="1" applyAlignment="1" applyProtection="1">
      <alignment horizontal="center" vertical="center"/>
    </xf>
    <xf numFmtId="0" fontId="153" fillId="5" borderId="3"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5" borderId="2" xfId="0" applyNumberFormat="1" applyFont="1" applyFill="1" applyBorder="1" applyAlignment="1" applyProtection="1">
      <alignment horizontal="center" vertical="center"/>
    </xf>
    <xf numFmtId="0" fontId="153" fillId="0" borderId="0" xfId="0" applyFont="1" applyFill="1" applyAlignment="1" applyProtection="1">
      <alignment horizontal="center" vertical="center"/>
    </xf>
    <xf numFmtId="0" fontId="145" fillId="8" borderId="0" xfId="0" applyFont="1"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195" fillId="8" borderId="115" xfId="0" applyFont="1" applyFill="1" applyBorder="1" applyAlignment="1">
      <alignment horizontal="center" vertical="center" wrapText="1"/>
    </xf>
    <xf numFmtId="0" fontId="195" fillId="8" borderId="89" xfId="0" applyFont="1" applyFill="1" applyBorder="1" applyAlignment="1">
      <alignment horizontal="center" vertical="center" wrapText="1"/>
    </xf>
    <xf numFmtId="0" fontId="195" fillId="8" borderId="116" xfId="0" applyFont="1" applyFill="1" applyBorder="1" applyAlignment="1">
      <alignment horizontal="center" vertical="center" wrapText="1"/>
    </xf>
    <xf numFmtId="0" fontId="140" fillId="8" borderId="23" xfId="0" applyFont="1" applyFill="1" applyBorder="1" applyAlignment="1">
      <alignment horizontal="center" vertical="center" wrapText="1"/>
    </xf>
    <xf numFmtId="0" fontId="140" fillId="8" borderId="69" xfId="0" applyFont="1" applyFill="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95" fillId="8" borderId="35" xfId="0" applyFont="1" applyFill="1" applyBorder="1" applyAlignment="1">
      <alignment horizontal="center" vertical="center" wrapText="1"/>
    </xf>
    <xf numFmtId="0" fontId="195" fillId="8" borderId="80" xfId="0" applyFont="1" applyFill="1" applyBorder="1" applyAlignment="1">
      <alignment horizontal="center" vertical="center" wrapText="1"/>
    </xf>
    <xf numFmtId="0" fontId="176" fillId="8" borderId="35" xfId="0" applyFont="1" applyFill="1" applyBorder="1" applyAlignment="1">
      <alignment horizontal="center" vertical="center" wrapText="1"/>
    </xf>
    <xf numFmtId="0" fontId="176" fillId="8" borderId="80" xfId="0" applyFont="1" applyFill="1" applyBorder="1" applyAlignment="1">
      <alignment horizontal="center" vertical="center" wrapText="1"/>
    </xf>
    <xf numFmtId="0" fontId="195" fillId="8" borderId="79" xfId="0" applyFont="1" applyFill="1" applyBorder="1" applyAlignment="1">
      <alignment horizontal="center" vertical="center" wrapText="1"/>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1" fillId="0" borderId="80" xfId="0" applyFont="1" applyFill="1" applyBorder="1" applyAlignment="1">
      <alignment horizontal="center" vertical="center" wrapText="1"/>
    </xf>
    <xf numFmtId="0" fontId="140" fillId="8" borderId="26" xfId="0" applyFont="1" applyFill="1" applyBorder="1" applyAlignment="1">
      <alignment horizontal="center" vertical="center" wrapText="1"/>
    </xf>
    <xf numFmtId="0" fontId="140" fillId="8" borderId="31" xfId="0" applyFont="1" applyFill="1" applyBorder="1" applyAlignment="1">
      <alignment horizontal="center" vertical="center" wrapText="1"/>
    </xf>
    <xf numFmtId="0" fontId="140" fillId="8" borderId="54" xfId="0" applyFont="1" applyFill="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1" fillId="0" borderId="153" xfId="0" applyFont="1" applyBorder="1" applyAlignment="1">
      <alignment horizontal="center" vertical="center" wrapText="1"/>
    </xf>
    <xf numFmtId="0" fontId="281" fillId="0" borderId="35" xfId="0" applyFont="1" applyFill="1" applyBorder="1" applyAlignment="1">
      <alignment horizontal="center" vertical="center"/>
    </xf>
    <xf numFmtId="0" fontId="281" fillId="0" borderId="79" xfId="0" applyFont="1" applyFill="1" applyBorder="1" applyAlignment="1">
      <alignment horizontal="center" vertical="center"/>
    </xf>
    <xf numFmtId="0" fontId="284" fillId="0" borderId="26"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31"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106" fillId="8" borderId="1" xfId="0" applyFont="1" applyFill="1" applyBorder="1" applyAlignment="1">
      <alignment horizontal="center" vertical="center" wrapText="1"/>
    </xf>
    <xf numFmtId="0" fontId="106" fillId="8" borderId="43" xfId="0" applyFont="1" applyFill="1" applyBorder="1" applyAlignment="1">
      <alignment horizontal="center" vertical="center" wrapText="1"/>
    </xf>
    <xf numFmtId="0" fontId="140" fillId="8" borderId="59" xfId="0" applyFont="1" applyFill="1" applyBorder="1" applyAlignment="1">
      <alignment horizontal="center" vertical="center" wrapText="1"/>
    </xf>
    <xf numFmtId="0" fontId="140" fillId="8" borderId="60" xfId="0" applyFont="1" applyFill="1" applyBorder="1" applyAlignment="1">
      <alignment horizontal="center" vertical="center" wrapText="1"/>
    </xf>
    <xf numFmtId="0" fontId="106" fillId="8" borderId="7" xfId="0" applyFont="1" applyFill="1" applyBorder="1" applyAlignment="1">
      <alignment horizontal="center" vertical="center" wrapText="1"/>
    </xf>
    <xf numFmtId="0" fontId="106" fillId="8" borderId="46" xfId="0" applyFont="1" applyFill="1" applyBorder="1" applyAlignment="1">
      <alignment horizontal="center" vertical="center" wrapText="1"/>
    </xf>
    <xf numFmtId="0" fontId="284" fillId="0" borderId="35" xfId="0" applyFont="1" applyFill="1" applyBorder="1" applyAlignment="1">
      <alignment horizontal="center" vertical="center" wrapText="1"/>
    </xf>
    <xf numFmtId="0" fontId="284" fillId="0" borderId="79" xfId="0" applyFont="1" applyFill="1" applyBorder="1" applyAlignment="1">
      <alignment horizontal="center" vertical="center" wrapText="1"/>
    </xf>
    <xf numFmtId="0" fontId="286" fillId="8" borderId="26" xfId="0" applyFont="1" applyFill="1" applyBorder="1" applyAlignment="1">
      <alignment horizontal="center" vertical="center" wrapText="1"/>
    </xf>
    <xf numFmtId="0" fontId="286" fillId="8" borderId="58" xfId="0" applyFont="1" applyFill="1" applyBorder="1" applyAlignment="1">
      <alignment horizontal="center" vertical="center" wrapText="1"/>
    </xf>
    <xf numFmtId="0" fontId="286" fillId="8" borderId="54" xfId="0" applyFont="1" applyFill="1" applyBorder="1" applyAlignment="1">
      <alignment horizontal="center" vertical="center" wrapText="1"/>
    </xf>
    <xf numFmtId="0" fontId="286" fillId="8" borderId="67" xfId="0" applyFont="1" applyFill="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66" xfId="0" applyFont="1" applyBorder="1" applyAlignment="1">
      <alignment horizontal="center" vertical="center" wrapText="1"/>
    </xf>
    <xf numFmtId="0" fontId="140" fillId="8" borderId="87" xfId="0" applyFont="1" applyFill="1" applyBorder="1" applyAlignment="1">
      <alignment horizontal="center" vertical="center" wrapText="1"/>
    </xf>
    <xf numFmtId="0" fontId="140" fillId="8" borderId="64" xfId="0" applyFont="1" applyFill="1" applyBorder="1" applyAlignment="1">
      <alignment horizontal="center" vertical="center" wrapText="1"/>
    </xf>
    <xf numFmtId="0" fontId="106" fillId="8" borderId="87" xfId="0" applyFont="1" applyFill="1" applyBorder="1" applyAlignment="1">
      <alignment horizontal="center" vertical="center" wrapText="1"/>
    </xf>
    <xf numFmtId="0" fontId="106" fillId="8" borderId="64" xfId="0" applyFont="1" applyFill="1" applyBorder="1" applyAlignment="1">
      <alignment horizontal="center" vertical="center" wrapText="1"/>
    </xf>
    <xf numFmtId="0" fontId="106" fillId="8" borderId="81" xfId="0" applyFont="1" applyFill="1" applyBorder="1" applyAlignment="1">
      <alignment horizontal="center" vertical="center" wrapText="1"/>
    </xf>
    <xf numFmtId="0" fontId="106" fillId="8" borderId="77" xfId="0" applyFont="1" applyFill="1" applyBorder="1" applyAlignment="1">
      <alignment horizontal="center" vertical="center" wrapText="1"/>
    </xf>
    <xf numFmtId="0" fontId="106" fillId="8" borderId="89" xfId="0" applyFont="1" applyFill="1" applyBorder="1" applyAlignment="1">
      <alignment horizontal="center" vertical="center" wrapText="1"/>
    </xf>
    <xf numFmtId="0" fontId="106" fillId="8" borderId="76" xfId="0" applyFont="1" applyFill="1" applyBorder="1" applyAlignment="1">
      <alignment horizontal="center" vertical="center" wrapText="1"/>
    </xf>
    <xf numFmtId="0" fontId="285" fillId="0" borderId="153" xfId="0" applyFont="1" applyBorder="1" applyAlignment="1">
      <alignment horizontal="center" vertical="center" wrapText="1"/>
    </xf>
    <xf numFmtId="0" fontId="280" fillId="0" borderId="31" xfId="0" applyFont="1" applyBorder="1" applyAlignment="1">
      <alignment vertical="center" wrapText="1"/>
    </xf>
    <xf numFmtId="0" fontId="281" fillId="0" borderId="35" xfId="0" applyFont="1" applyBorder="1" applyAlignment="1">
      <alignment horizontal="center" vertical="center"/>
    </xf>
    <xf numFmtId="0" fontId="281" fillId="0" borderId="79" xfId="0" applyFont="1" applyBorder="1" applyAlignment="1">
      <alignment horizontal="center" vertical="center"/>
    </xf>
    <xf numFmtId="0" fontId="281" fillId="0" borderId="80"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106" fillId="8" borderId="57" xfId="0" applyFont="1" applyFill="1" applyBorder="1" applyAlignment="1">
      <alignment horizontal="center" vertical="center" wrapText="1"/>
    </xf>
    <xf numFmtId="0" fontId="106" fillId="8" borderId="48" xfId="0" applyFont="1" applyFill="1" applyBorder="1" applyAlignment="1">
      <alignment horizontal="center" vertical="center" wrapText="1"/>
    </xf>
    <xf numFmtId="0" fontId="195" fillId="8" borderId="59" xfId="0" applyFont="1" applyFill="1" applyBorder="1" applyAlignment="1">
      <alignment horizontal="center" vertical="center" wrapText="1"/>
    </xf>
    <xf numFmtId="0" fontId="195" fillId="8" borderId="60" xfId="0" applyFont="1" applyFill="1" applyBorder="1" applyAlignment="1">
      <alignment horizontal="center" vertical="center" wrapText="1"/>
    </xf>
    <xf numFmtId="0" fontId="176" fillId="8" borderId="7" xfId="0" applyFont="1" applyFill="1" applyBorder="1" applyAlignment="1">
      <alignment horizontal="center" vertical="center" wrapText="1"/>
    </xf>
    <xf numFmtId="0" fontId="176" fillId="8" borderId="46" xfId="0" applyFont="1" applyFill="1" applyBorder="1" applyAlignment="1">
      <alignment horizontal="center" vertical="center" wrapText="1"/>
    </xf>
    <xf numFmtId="0" fontId="176" fillId="8" borderId="57" xfId="0" applyFont="1" applyFill="1" applyBorder="1" applyAlignment="1">
      <alignment horizontal="center" vertical="center" wrapText="1"/>
    </xf>
    <xf numFmtId="0" fontId="176" fillId="8" borderId="48" xfId="0" applyFont="1" applyFill="1" applyBorder="1" applyAlignment="1">
      <alignment horizontal="center" vertical="center" wrapText="1"/>
    </xf>
    <xf numFmtId="0" fontId="176" fillId="8" borderId="30" xfId="0" applyFont="1" applyFill="1" applyBorder="1" applyAlignment="1">
      <alignment horizontal="center" vertical="center" wrapText="1"/>
    </xf>
    <xf numFmtId="0" fontId="176" fillId="8" borderId="56" xfId="0" applyFont="1" applyFill="1" applyBorder="1" applyAlignment="1">
      <alignment horizontal="center" vertical="center" wrapText="1"/>
    </xf>
    <xf numFmtId="0" fontId="176" fillId="8" borderId="115" xfId="0" applyFont="1" applyFill="1" applyBorder="1" applyAlignment="1">
      <alignment horizontal="center" vertical="center" wrapText="1"/>
    </xf>
    <xf numFmtId="0" fontId="176" fillId="8" borderId="116" xfId="0" applyFont="1" applyFill="1" applyBorder="1" applyAlignment="1">
      <alignment horizontal="center" vertical="center" wrapText="1"/>
    </xf>
    <xf numFmtId="0" fontId="106" fillId="8" borderId="115" xfId="0"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76200</xdr:colOff>
      <xdr:row>27</xdr:row>
      <xdr:rowOff>57150</xdr:rowOff>
    </xdr:to>
    <xdr:pic>
      <xdr:nvPicPr>
        <xdr:cNvPr id="14" name="图片 13"/>
        <xdr:cNvPicPr/>
      </xdr:nvPicPr>
      <xdr:blipFill>
        <a:blip xmlns:r="http://schemas.openxmlformats.org/officeDocument/2006/relationships" r:embed="rId1" cstate="print"/>
        <a:stretch>
          <a:fillRect/>
        </a:stretch>
      </xdr:blipFill>
      <xdr:spPr>
        <a:xfrm>
          <a:off x="0" y="0"/>
          <a:ext cx="6934200" cy="4686300"/>
        </a:xfrm>
        <a:prstGeom prst="rect">
          <a:avLst/>
        </a:prstGeom>
      </xdr:spPr>
    </xdr:pic>
    <xdr:clientData/>
  </xdr:twoCellAnchor>
  <xdr:twoCellAnchor editAs="oneCell">
    <xdr:from>
      <xdr:col>0</xdr:col>
      <xdr:colOff>142874</xdr:colOff>
      <xdr:row>65</xdr:row>
      <xdr:rowOff>38100</xdr:rowOff>
    </xdr:from>
    <xdr:to>
      <xdr:col>11</xdr:col>
      <xdr:colOff>133349</xdr:colOff>
      <xdr:row>99</xdr:row>
      <xdr:rowOff>76200</xdr:rowOff>
    </xdr:to>
    <xdr:pic>
      <xdr:nvPicPr>
        <xdr:cNvPr id="19" name="图片 18"/>
        <xdr:cNvPicPr/>
      </xdr:nvPicPr>
      <xdr:blipFill>
        <a:blip xmlns:r="http://schemas.openxmlformats.org/officeDocument/2006/relationships" r:embed="rId2" cstate="print"/>
        <a:stretch>
          <a:fillRect/>
        </a:stretch>
      </xdr:blipFill>
      <xdr:spPr>
        <a:xfrm>
          <a:off x="142874" y="11182350"/>
          <a:ext cx="7534275" cy="5867400"/>
        </a:xfrm>
        <a:prstGeom prst="rect">
          <a:avLst/>
        </a:prstGeom>
      </xdr:spPr>
    </xdr:pic>
    <xdr:clientData/>
  </xdr:twoCellAnchor>
  <xdr:twoCellAnchor editAs="oneCell">
    <xdr:from>
      <xdr:col>0</xdr:col>
      <xdr:colOff>0</xdr:colOff>
      <xdr:row>30</xdr:row>
      <xdr:rowOff>133349</xdr:rowOff>
    </xdr:from>
    <xdr:to>
      <xdr:col>11</xdr:col>
      <xdr:colOff>657225</xdr:colOff>
      <xdr:row>57</xdr:row>
      <xdr:rowOff>104775</xdr:rowOff>
    </xdr:to>
    <xdr:pic>
      <xdr:nvPicPr>
        <xdr:cNvPr id="20" name="图片 19"/>
        <xdr:cNvPicPr/>
      </xdr:nvPicPr>
      <xdr:blipFill>
        <a:blip xmlns:r="http://schemas.openxmlformats.org/officeDocument/2006/relationships" r:embed="rId3" cstate="print"/>
        <a:stretch>
          <a:fillRect/>
        </a:stretch>
      </xdr:blipFill>
      <xdr:spPr>
        <a:xfrm>
          <a:off x="0" y="5276849"/>
          <a:ext cx="8201025" cy="4600576"/>
        </a:xfrm>
        <a:prstGeom prst="rect">
          <a:avLst/>
        </a:prstGeom>
      </xdr:spPr>
    </xdr:pic>
    <xdr:clientData/>
  </xdr:twoCellAnchor>
  <xdr:twoCellAnchor editAs="oneCell">
    <xdr:from>
      <xdr:col>0</xdr:col>
      <xdr:colOff>0</xdr:colOff>
      <xdr:row>105</xdr:row>
      <xdr:rowOff>0</xdr:rowOff>
    </xdr:from>
    <xdr:to>
      <xdr:col>12</xdr:col>
      <xdr:colOff>219074</xdr:colOff>
      <xdr:row>133</xdr:row>
      <xdr:rowOff>123825</xdr:rowOff>
    </xdr:to>
    <xdr:pic>
      <xdr:nvPicPr>
        <xdr:cNvPr id="21" name="图片 20"/>
        <xdr:cNvPicPr/>
      </xdr:nvPicPr>
      <xdr:blipFill>
        <a:blip xmlns:r="http://schemas.openxmlformats.org/officeDocument/2006/relationships" r:embed="rId4" cstate="print"/>
        <a:stretch>
          <a:fillRect/>
        </a:stretch>
      </xdr:blipFill>
      <xdr:spPr>
        <a:xfrm>
          <a:off x="0" y="18002250"/>
          <a:ext cx="8448674" cy="492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381001</xdr:colOff>
      <xdr:row>32</xdr:row>
      <xdr:rowOff>170548</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5867400" cy="565694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4&#21518;&#24125;&#32993;&#21516;&#27979;&#31639;(40&#24180;&#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6&#21518;&#24125;&#32993;&#21516;&#27979;&#31639;(40&#24180;&#21830;&#199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剩余法-待开发"/>
      <sheetName val="结果表二"/>
      <sheetName val="剩余法-现房"/>
      <sheetName val="比较法-住宅、综合"/>
      <sheetName val="比较法-工业"/>
      <sheetName val="结果表"/>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0">
          <cell r="C20">
            <v>43504</v>
          </cell>
          <cell r="D20">
            <v>39261</v>
          </cell>
        </row>
      </sheetData>
      <sheetData sheetId="22">
        <row r="38">
          <cell r="C38">
            <v>11778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剩余法-待开发"/>
      <sheetName val="结果表二"/>
      <sheetName val="剩余法-现房"/>
      <sheetName val="比较法-住宅、综合"/>
      <sheetName val="比较法-工业"/>
      <sheetName val="结果表"/>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0">
          <cell r="C20">
            <v>46268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2660</v>
      </c>
      <c r="B1" s="2910" t="s">
        <v>2757</v>
      </c>
    </row>
    <row r="2" spans="1:55" s="2914" customFormat="1" ht="15" thickTop="1">
      <c r="A2" s="2912" t="s">
        <v>2664</v>
      </c>
      <c r="B2" s="2913" t="str">
        <f>'预评函-封皮'!B37</f>
        <v>北京市出让国有建设用地使用权市场价格预评估</v>
      </c>
      <c r="AX2" s="2915"/>
      <c r="AZ2" s="2915"/>
      <c r="BA2" s="2916"/>
      <c r="BC2" s="2916"/>
    </row>
    <row r="3" spans="1:55" s="2917" customFormat="1">
      <c r="A3" s="2896" t="s">
        <v>2665</v>
      </c>
      <c r="B3" s="2899">
        <f>'预评函-封皮'!B40</f>
        <v>0</v>
      </c>
    </row>
    <row r="4" spans="1:55" s="2898" customFormat="1">
      <c r="A4" s="2896" t="s">
        <v>2666</v>
      </c>
      <c r="B4" s="2897" t="str">
        <f>'预评函-封皮'!B46</f>
        <v>陈颖、杨红英</v>
      </c>
      <c r="N4" s="2898" t="str">
        <f>'预评函-1'!A28</f>
        <v>——</v>
      </c>
    </row>
    <row r="5" spans="1:55" s="2911" customFormat="1" ht="15" thickBot="1">
      <c r="A5" s="2918" t="s">
        <v>2667</v>
      </c>
      <c r="B5" s="2919" t="str">
        <f>'预评函-封皮'!B49</f>
        <v>康正预评字号</v>
      </c>
    </row>
    <row r="6" spans="1:55" s="2920" customFormat="1" ht="15" thickTop="1">
      <c r="A6" s="2912" t="s">
        <v>2709</v>
      </c>
      <c r="B6" s="2913" t="str">
        <f>'预评函-1'!A4</f>
        <v>受贵公司委托，我公司对北京市出让国有建设用地使用权市场价格进行了预评估。</v>
      </c>
      <c r="AM6" s="2921"/>
    </row>
    <row r="7" spans="1:55" s="2895" customFormat="1">
      <c r="A7" s="2896" t="s">
        <v>2661</v>
      </c>
      <c r="B7" s="2897"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5" customFormat="1">
      <c r="A8" s="2896" t="s">
        <v>2662</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2712</v>
      </c>
      <c r="B9" s="2897" t="str">
        <f>'预评函-1'!A9</f>
        <v>本次评估为委托估价方了解标的物之市场价格提供参考依据而评估出让国有建设用地使用权市场价格。</v>
      </c>
    </row>
    <row r="10" spans="1:55" s="2895" customFormat="1">
      <c r="A10" s="2896" t="s">
        <v>2663</v>
      </c>
      <c r="B10" s="2897" t="str">
        <f>'预评函-1'!A11</f>
        <v>2018年10月9日</v>
      </c>
    </row>
    <row r="11" spans="1:55" s="2895" customFormat="1">
      <c r="A11" s="2896" t="s">
        <v>2669</v>
      </c>
      <c r="B11" s="2897" t="str">
        <f>'预评函-1'!A14</f>
        <v>根据《国有土地使用证》[]，本次评估估价对象证载（地类）用途为。</v>
      </c>
    </row>
    <row r="12" spans="1:55" s="2895" customFormat="1">
      <c r="A12" s="2896" t="s">
        <v>2670</v>
      </c>
      <c r="B12" s="2897" t="str">
        <f>'预评函-1'!A15</f>
        <v>本次评估设定用途即为证载用途。</v>
      </c>
    </row>
    <row r="13" spans="1:55" s="2895" customFormat="1">
      <c r="A13" s="2896" t="s">
        <v>2671</v>
      </c>
      <c r="B13" s="2897" t="str">
        <f>'预评函-1'!A17</f>
        <v>根据委托估价方介绍及评估专业人员现场勘查，本次评估估价对象实际土地开发程度为红线外市政基础设施达“七通”（即通路、通电、通讯、通上水、通下水、通热、燃气）、宗地红线内场地平整。</v>
      </c>
    </row>
    <row r="14" spans="1:55" s="2895" customFormat="1">
      <c r="A14" s="2896" t="s">
        <v>2672</v>
      </c>
      <c r="B14" s="2897" t="str">
        <f>'预评函-1'!A18</f>
        <v>。本次评估设定土地开发程度为红线外市政基础设施达“七通”、宗地红线内场地平整。</v>
      </c>
    </row>
    <row r="15" spans="1:55" s="2895" customFormat="1">
      <c r="A15" s="2896" t="s">
        <v>2668</v>
      </c>
      <c r="B15" s="2897" t="str">
        <f>'预评函-1'!A20</f>
        <v>根据《国有土地使用证》[]，估价对象（分摊）出让国有建设用地使用权面积为2079.07平方米。根据《建设工程规划许可证》[]、《出让合同》[]，估价对象规划建筑面积为10000平方米。</v>
      </c>
    </row>
    <row r="16" spans="1:55" s="2895" customFormat="1">
      <c r="A16" s="2896" t="s">
        <v>2673</v>
      </c>
      <c r="B16" s="289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17" spans="1:48" s="2895" customFormat="1">
      <c r="A17" s="2896" t="s">
        <v>2674</v>
      </c>
      <c r="B17" s="2897" t="str">
        <f>'预评函-1'!A23</f>
        <v>本次评估设定估价对象剩余土地使用年限为。</v>
      </c>
    </row>
    <row r="18" spans="1:48" s="2895" customFormat="1">
      <c r="A18" s="2896" t="s">
        <v>2675</v>
      </c>
      <c r="B18" s="2897" t="str">
        <f>'预评函-1'!A25</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19" spans="1:48" s="2895" customFormat="1">
      <c r="A19" s="2896" t="s">
        <v>2676</v>
      </c>
      <c r="B19" s="2897" t="str">
        <f>'预评函-1'!A26</f>
        <v>——</v>
      </c>
    </row>
    <row r="20" spans="1:48" s="2895" customFormat="1">
      <c r="A20" s="2896" t="s">
        <v>2677</v>
      </c>
      <c r="B20" s="2897" t="str">
        <f>'预评函-1'!A27</f>
        <v>——</v>
      </c>
    </row>
    <row r="21" spans="1:48" s="2911" customFormat="1" ht="15" thickBot="1">
      <c r="A21" s="2918" t="s">
        <v>2678</v>
      </c>
      <c r="B21" s="2919" t="str">
        <f>'预评函-1'!A28</f>
        <v>——</v>
      </c>
    </row>
    <row r="22" spans="1:48" ht="15" thickTop="1">
      <c r="A22" s="2907" t="s">
        <v>2679</v>
      </c>
      <c r="B22" s="290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6" t="s">
        <v>2680</v>
      </c>
      <c r="B23" s="2897" t="str">
        <f>'预评函-2'!K2</f>
        <v>估价期日：2018年10月9日</v>
      </c>
    </row>
    <row r="24" spans="1:48">
      <c r="A24" s="2896" t="s">
        <v>2681</v>
      </c>
      <c r="B24" s="2897" t="str">
        <f>'预评函-2'!R2</f>
        <v>估价期日的国有建设用地使用权性质：出让</v>
      </c>
    </row>
    <row r="25" spans="1:48">
      <c r="A25" s="2896" t="s">
        <v>2737</v>
      </c>
      <c r="B25" s="2897" t="str">
        <f>'预评函-2'!A3</f>
        <v>估价期日土地使用者</v>
      </c>
    </row>
    <row r="26" spans="1:48">
      <c r="A26" s="2896" t="s">
        <v>2713</v>
      </c>
      <c r="B26" s="2897" t="str">
        <f>'预评函-2'!A5</f>
        <v>中信开发</v>
      </c>
    </row>
    <row r="27" spans="1:48">
      <c r="A27" s="2896" t="s">
        <v>2738</v>
      </c>
      <c r="B27" s="2897" t="str">
        <f>'预评函-2'!B3</f>
        <v>宗地编号/不动产单元号</v>
      </c>
    </row>
    <row r="28" spans="1:48">
      <c r="A28" s="2896" t="s">
        <v>2714</v>
      </c>
      <c r="B28" s="2897" t="str">
        <f>'预评函-2'!B5</f>
        <v>11111111111</v>
      </c>
    </row>
    <row r="29" spans="1:48">
      <c r="A29" s="2896" t="s">
        <v>2740</v>
      </c>
      <c r="B29" s="2897">
        <f>'预评函-2'!C5</f>
        <v>22</v>
      </c>
    </row>
    <row r="30" spans="1:48">
      <c r="A30" s="2896" t="s">
        <v>2741</v>
      </c>
      <c r="B30" s="2897" t="str">
        <f>'预评函-2'!D3</f>
        <v>土地使用证编号/不动产权证书编号</v>
      </c>
    </row>
    <row r="31" spans="1:48">
      <c r="A31" s="2896" t="s">
        <v>2715</v>
      </c>
      <c r="B31" s="2897" t="str">
        <f>'预评函-2'!D5</f>
        <v>京国土字第111号</v>
      </c>
    </row>
    <row r="32" spans="1:48">
      <c r="A32" s="2896" t="s">
        <v>2716</v>
      </c>
      <c r="B32" s="2897">
        <f>'预评函-2'!E5</f>
        <v>0</v>
      </c>
      <c r="AV32" s="2901"/>
    </row>
    <row r="33" spans="1:2">
      <c r="A33" s="2896" t="s">
        <v>2717</v>
      </c>
      <c r="B33" s="2897">
        <f>'预评函-2'!F5</f>
        <v>258</v>
      </c>
    </row>
    <row r="34" spans="1:2">
      <c r="A34" s="2896" t="s">
        <v>2718</v>
      </c>
      <c r="B34" s="2897">
        <f>'预评函-2'!G5</f>
        <v>0</v>
      </c>
    </row>
    <row r="35" spans="1:2">
      <c r="A35" s="2896" t="s">
        <v>2719</v>
      </c>
      <c r="B35" s="2897">
        <f>'预评函-2'!H5</f>
        <v>1.5</v>
      </c>
    </row>
    <row r="36" spans="1:2">
      <c r="A36" s="2896" t="s">
        <v>2720</v>
      </c>
      <c r="B36" s="2897">
        <f>'预评函-2'!I5</f>
        <v>1.5</v>
      </c>
    </row>
    <row r="37" spans="1:2">
      <c r="A37" s="2896" t="s">
        <v>2721</v>
      </c>
      <c r="B37" s="2897">
        <f>'预评函-2'!J5</f>
        <v>1.5</v>
      </c>
    </row>
    <row r="38" spans="1:2">
      <c r="A38" s="2896" t="s">
        <v>2722</v>
      </c>
      <c r="B38" s="2897" t="str">
        <f>'预评函-2'!K5</f>
        <v>红线外七通、宗地红线内</v>
      </c>
    </row>
    <row r="39" spans="1:2">
      <c r="A39" s="2896" t="s">
        <v>2723</v>
      </c>
      <c r="B39" s="2897" t="str">
        <f>'预评函-2'!L5</f>
        <v>红线外七通、宗地红线内场地</v>
      </c>
    </row>
    <row r="40" spans="1:2">
      <c r="A40" s="2896" t="s">
        <v>2742</v>
      </c>
      <c r="B40" s="2897" t="str">
        <f>'预评函-2'!M3</f>
        <v>（剩余）土地使用年限/年</v>
      </c>
    </row>
    <row r="41" spans="1:2">
      <c r="A41" s="2896" t="s">
        <v>2724</v>
      </c>
      <c r="B41" s="2897">
        <f>'预评函-2'!M5</f>
        <v>0</v>
      </c>
    </row>
    <row r="42" spans="1:2">
      <c r="A42" s="2896" t="s">
        <v>2743</v>
      </c>
      <c r="B42" s="2897" t="str">
        <f>'预评函-2'!N3</f>
        <v>（分摊）出让国有建设用地使用权面积/㎡</v>
      </c>
    </row>
    <row r="43" spans="1:2">
      <c r="A43" s="2896" t="s">
        <v>2725</v>
      </c>
      <c r="B43" s="2897">
        <f>'预评函-2'!N5</f>
        <v>2079.0700000000002</v>
      </c>
    </row>
    <row r="44" spans="1:2">
      <c r="A44" s="2896" t="s">
        <v>2744</v>
      </c>
      <c r="B44" s="2897" t="str">
        <f>'预评函-2'!O3</f>
        <v>规划建筑面积/㎡</v>
      </c>
    </row>
    <row r="45" spans="1:2">
      <c r="A45" s="2896" t="s">
        <v>2726</v>
      </c>
      <c r="B45" s="2897">
        <f>'预评函-2'!O5</f>
        <v>10000</v>
      </c>
    </row>
    <row r="46" spans="1:2">
      <c r="A46" s="2896" t="s">
        <v>2727</v>
      </c>
      <c r="B46" s="2897">
        <f ca="1">'预评函-2'!P5</f>
        <v>193009</v>
      </c>
    </row>
    <row r="47" spans="1:2">
      <c r="A47" s="2896" t="s">
        <v>2728</v>
      </c>
      <c r="B47" s="2897">
        <f ca="1">'预评函-2'!Q5</f>
        <v>40128</v>
      </c>
    </row>
    <row r="48" spans="1:2">
      <c r="A48" s="2896" t="s">
        <v>2729</v>
      </c>
      <c r="B48" s="2897">
        <f ca="1">'预评函-2'!R5</f>
        <v>40128</v>
      </c>
    </row>
    <row r="49" spans="1:2">
      <c r="A49" s="2896" t="s">
        <v>2745</v>
      </c>
      <c r="B49" s="2897" t="str">
        <f>'预评函-2'!A6</f>
        <v>——</v>
      </c>
    </row>
    <row r="50" spans="1:2">
      <c r="A50" s="2896" t="s">
        <v>2730</v>
      </c>
      <c r="B50" s="2897" t="str">
        <f>'预评函-2'!R6</f>
        <v>——</v>
      </c>
    </row>
    <row r="51" spans="1:2">
      <c r="A51" s="2896" t="s">
        <v>2746</v>
      </c>
      <c r="B51" s="2897" t="str">
        <f>'预评函-2'!A7</f>
        <v>——</v>
      </c>
    </row>
    <row r="52" spans="1:2">
      <c r="A52" s="2896" t="s">
        <v>2731</v>
      </c>
      <c r="B52" s="2897" t="str">
        <f>'预评函-2'!R7</f>
        <v>——</v>
      </c>
    </row>
    <row r="53" spans="1:2">
      <c r="A53" s="2896" t="s">
        <v>2747</v>
      </c>
      <c r="B53" s="2897" t="str">
        <f>'预评函-2'!A8</f>
        <v>——</v>
      </c>
    </row>
    <row r="54" spans="1:2" s="2911" customFormat="1" ht="15" thickBot="1">
      <c r="A54" s="2918" t="s">
        <v>2732</v>
      </c>
      <c r="B54" s="2919" t="str">
        <f>'预评函-2'!R8</f>
        <v>——</v>
      </c>
    </row>
    <row r="55" spans="1:2" ht="15" thickTop="1">
      <c r="A55" s="2907" t="s">
        <v>2682</v>
      </c>
      <c r="B55" s="2908" t="str">
        <f>'预评函-3'!A2</f>
        <v>1.权利限制：根据估价对象《不动产权证书》原件、《国有土地使用权》复印件，截至估价期日，估价对象抵押权未见登记。未设定租赁等其他他项权利。</v>
      </c>
    </row>
    <row r="56" spans="1:2">
      <c r="A56" s="2896" t="s">
        <v>2683</v>
      </c>
      <c r="B56" s="2897" t="str">
        <f>'预评函-3'!A3</f>
        <v>2.基础设施条件：估价对象实际开发程度为红线外七通、宗地红线内；本次评估设定开发程度为红线外七通、宗地红线内场地。</v>
      </c>
    </row>
    <row r="57" spans="1:2">
      <c r="A57" s="2896" t="s">
        <v>2684</v>
      </c>
      <c r="B57" s="2897" t="str">
        <f>'预评函-3'!A4</f>
        <v>3.估价规划限制条件：详见《建设工程规划许可证》[]、《出让合同》[]。</v>
      </c>
    </row>
    <row r="58" spans="1:2" s="2911" customFormat="1" ht="15" thickBot="1">
      <c r="A58" s="2918" t="s">
        <v>2733</v>
      </c>
      <c r="B58" s="2919" t="str">
        <f>'预评函-3'!A5</f>
        <v>4.影响价格的其他限定条件：无。</v>
      </c>
    </row>
    <row r="59" spans="1:2" ht="15" thickTop="1">
      <c r="A59" s="2907" t="s">
        <v>2685</v>
      </c>
      <c r="B59" s="2908" t="str">
        <f>'预评函-3'!A8</f>
        <v>2.本次评估设定估价对象宗地权属无争议，未被查封或者以其他形式限制其房地产权利，未设定抵押权等他项权利，不涉及第三方权利义务。</v>
      </c>
    </row>
    <row r="60" spans="1:2">
      <c r="A60" s="2896" t="s">
        <v>2686</v>
      </c>
      <c r="B60" s="2897" t="str">
        <f>'预评函-3'!A9</f>
        <v>——</v>
      </c>
    </row>
    <row r="61" spans="1:2">
      <c r="A61" s="2896" t="s">
        <v>2688</v>
      </c>
      <c r="B61" s="2897" t="str">
        <f>'预评函-3'!A10</f>
        <v>——</v>
      </c>
    </row>
    <row r="62" spans="1:2">
      <c r="A62" s="2896" t="s">
        <v>2687</v>
      </c>
      <c r="B62" s="2897" t="str">
        <f>'预评函-3'!A11</f>
        <v>——</v>
      </c>
    </row>
    <row r="63" spans="1:2">
      <c r="A63" s="2896" t="s">
        <v>2689</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2690</v>
      </c>
      <c r="B64" s="2902" t="str">
        <f>'预评函-3'!A13</f>
        <v>（3）。</v>
      </c>
    </row>
    <row r="65" spans="1:2">
      <c r="A65" s="2896" t="s">
        <v>2691</v>
      </c>
      <c r="B65" s="2903" t="str">
        <f>'预评函-3'!A14</f>
        <v>——</v>
      </c>
    </row>
    <row r="66" spans="1:2">
      <c r="A66" s="2896" t="s">
        <v>2692</v>
      </c>
      <c r="B66" s="29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2693</v>
      </c>
      <c r="B67" s="29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2696</v>
      </c>
      <c r="B68" s="2922">
        <f>'预评函-3'!D30</f>
        <v>42558</v>
      </c>
    </row>
    <row r="69" spans="1:2" ht="15" thickTop="1">
      <c r="A69" s="2907" t="s">
        <v>2694</v>
      </c>
      <c r="B69" s="2908" t="str">
        <f>'预评函-3'!A20</f>
        <v>陈颖</v>
      </c>
    </row>
    <row r="70" spans="1:2">
      <c r="A70" s="2896" t="s">
        <v>2694</v>
      </c>
      <c r="B70" s="2903">
        <f ca="1">'预评函-3'!B20</f>
        <v>2004110096</v>
      </c>
    </row>
    <row r="71" spans="1:2">
      <c r="A71" s="2896" t="s">
        <v>2695</v>
      </c>
      <c r="B71" s="2897" t="str">
        <f>'预评函-3'!A21</f>
        <v>杨红英</v>
      </c>
    </row>
    <row r="72" spans="1:2" s="2911" customFormat="1" ht="15" thickBot="1">
      <c r="A72" s="2918" t="s">
        <v>2695</v>
      </c>
      <c r="B72" s="2924">
        <f>'预评函-3'!B21</f>
        <v>2004110128</v>
      </c>
    </row>
    <row r="73" spans="1:2" ht="15" thickTop="1">
      <c r="A73" s="2907" t="s">
        <v>2754</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2755</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2756</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77" t="str">
        <f>IF(B10="北京市","北京市",C10)&amp;F10&amp;B16&amp;"国有建设用地使用权"&amp;B9&amp;"预评估"</f>
        <v>北京市出让国有建设用地使用权市场价格预评估</v>
      </c>
      <c r="C1" s="3378"/>
      <c r="D1" s="3378"/>
      <c r="E1" s="3378"/>
      <c r="F1" s="3378"/>
      <c r="G1" s="3378"/>
      <c r="H1" s="3378"/>
      <c r="I1" s="3379"/>
      <c r="J1" s="1691"/>
      <c r="K1" s="2475"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75"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3253">
        <v>43257</v>
      </c>
      <c r="C3" s="1660" t="s">
        <v>1998</v>
      </c>
      <c r="D3" s="1659">
        <v>43382</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2978</v>
      </c>
      <c r="C4" s="1843">
        <f ca="1">SUMIF(土地估价师,B4,估价师及机构信息!E3:E24)</f>
        <v>2004110096</v>
      </c>
      <c r="D4" s="1840" t="s">
        <v>2979</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75" t="str">
        <f>IF(AND(F4="——",H4="——"),B4&amp;"、"&amp;D4,IF(AND(F4&lt;&gt;"——",H4="——"),B4&amp;"、"&amp;D4&amp;"、"&amp;F4,B4&amp;"、"&amp;D4&amp;"、"&amp;F4&amp;"、"&amp;H4))</f>
        <v>陈颖、杨红英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4"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2980</v>
      </c>
      <c r="C8" s="1668"/>
      <c r="D8" s="3383" t="s">
        <v>1947</v>
      </c>
      <c r="E8" s="1841"/>
      <c r="F8" s="1669"/>
      <c r="G8" s="1657"/>
      <c r="H8" s="1657"/>
      <c r="I8" s="1704"/>
      <c r="J8" s="1691"/>
      <c r="K8" s="1771"/>
      <c r="L8" s="1720"/>
      <c r="M8" s="1720"/>
      <c r="N8" s="1691"/>
      <c r="O8" s="1692"/>
      <c r="P8" s="1691"/>
      <c r="Q8" s="1691"/>
      <c r="R8" s="1691"/>
      <c r="S8" s="1691"/>
      <c r="T8" s="1691"/>
      <c r="U8" s="1691"/>
    </row>
    <row r="9" spans="1:21" ht="15" thickBot="1">
      <c r="A9" s="1670" t="s">
        <v>1946</v>
      </c>
      <c r="B9" s="1671" t="s">
        <v>2981</v>
      </c>
      <c r="C9" s="1672"/>
      <c r="D9" s="3384"/>
      <c r="E9" s="1671"/>
      <c r="F9" s="1744"/>
      <c r="G9" s="1739"/>
      <c r="H9" s="1739"/>
      <c r="I9" s="1740"/>
      <c r="J9" s="1691"/>
      <c r="K9" s="1771"/>
      <c r="L9" s="1720"/>
      <c r="M9" s="1720"/>
      <c r="N9" s="1691"/>
      <c r="O9" s="1692"/>
      <c r="P9" s="1691"/>
      <c r="Q9" s="1691"/>
      <c r="R9" s="1691"/>
      <c r="S9" s="1691"/>
      <c r="T9" s="1691"/>
      <c r="U9" s="1691"/>
    </row>
    <row r="10" spans="1:21" ht="15" thickTop="1">
      <c r="A10" s="1741" t="s">
        <v>2002</v>
      </c>
      <c r="B10" s="3168"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c r="A11" s="1694" t="s">
        <v>2003</v>
      </c>
      <c r="B11" s="1695" t="s">
        <v>2982</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2061</v>
      </c>
      <c r="B12" s="3380"/>
      <c r="C12" s="3381"/>
      <c r="D12" s="3382"/>
      <c r="E12" s="1696" t="s">
        <v>2064</v>
      </c>
      <c r="F12" s="3398" t="s">
        <v>2891</v>
      </c>
      <c r="G12" s="3399"/>
      <c r="H12" s="3399"/>
      <c r="I12" s="3400"/>
      <c r="J12" s="1691"/>
      <c r="K12" s="1771"/>
      <c r="L12" s="1720"/>
      <c r="M12" s="1720"/>
      <c r="N12" s="1691"/>
      <c r="O12" s="1692"/>
      <c r="P12" s="1691"/>
      <c r="Q12" s="1691"/>
      <c r="R12" s="1691"/>
      <c r="S12" s="1691"/>
      <c r="T12" s="1691"/>
      <c r="U12" s="1691"/>
    </row>
    <row r="13" spans="1:21">
      <c r="A13" s="1684" t="s">
        <v>2062</v>
      </c>
      <c r="B13" s="3380"/>
      <c r="C13" s="3381"/>
      <c r="D13" s="3382"/>
      <c r="E13" s="1696" t="s">
        <v>2064</v>
      </c>
      <c r="F13" s="3398" t="s">
        <v>2892</v>
      </c>
      <c r="G13" s="3399"/>
      <c r="H13" s="3399"/>
      <c r="I13" s="3400"/>
      <c r="J13" s="1691"/>
      <c r="K13" s="1771"/>
      <c r="L13" s="1720"/>
      <c r="M13" s="1720"/>
      <c r="N13" s="1691"/>
      <c r="O13" s="1692"/>
      <c r="P13" s="1691"/>
      <c r="Q13" s="1691"/>
      <c r="R13" s="1691"/>
      <c r="S13" s="1691"/>
      <c r="T13" s="1691"/>
      <c r="U13" s="1691"/>
    </row>
    <row r="14" spans="1:2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5"/>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2983</v>
      </c>
      <c r="C16" s="1696" t="s">
        <v>1951</v>
      </c>
      <c r="D16" s="2666" t="s">
        <v>1952</v>
      </c>
      <c r="E16" s="1719"/>
      <c r="F16" s="1719" t="s">
        <v>2984</v>
      </c>
      <c r="G16" s="1719"/>
      <c r="H16" s="1719" t="s">
        <v>2985</v>
      </c>
      <c r="I16" s="1683" t="s">
        <v>1957</v>
      </c>
      <c r="J16" s="1691"/>
      <c r="K16" s="2476" t="str">
        <f>IF(D17="","",D16&amp;TEXT(D17,"yyyy年m月d日;;"))</f>
        <v/>
      </c>
      <c r="L16" s="1696" t="str">
        <f>IF(OR(K16="",M16=""),"","、")</f>
        <v/>
      </c>
      <c r="M16" s="2476" t="str">
        <f>IF(E17="","",E16&amp;TEXT(E17,"yyyy年m月d日;;"))</f>
        <v/>
      </c>
      <c r="N16" s="1696" t="str">
        <f>IF(OR(M16="",O16=""),"","、")</f>
        <v/>
      </c>
      <c r="O16" s="2476" t="str">
        <f>IF(F17="","",F16&amp;TEXT(F17,"yyyy年m月d日;;"))</f>
        <v>地上办公2080年1月1日</v>
      </c>
      <c r="P16" s="1696" t="str">
        <f>IF(OR(O16="",Q16=""),"","、")</f>
        <v/>
      </c>
      <c r="Q16" s="2476" t="str">
        <f>IF(G17="","",G16&amp;TEXT(G17,"yyyy年m月d日;;"))</f>
        <v/>
      </c>
      <c r="R16" s="1696" t="str">
        <f>IF(OR(Q16="",S16=""),"","、")</f>
        <v/>
      </c>
      <c r="S16" s="2476" t="str">
        <f>IF(H17="","",H16&amp;TEXT(H17,"yyyy年m月d日;;"))</f>
        <v>地下仓储2080年1月1日</v>
      </c>
      <c r="T16" s="1696" t="str">
        <f>IF(OR(S16="",U16=""),"","、")</f>
        <v/>
      </c>
      <c r="U16" s="2476" t="str">
        <f>IF(I17="","",I16&amp;TEXT(I17,"yyyy年m月d日;;"))</f>
        <v/>
      </c>
    </row>
    <row r="17" spans="1:21">
      <c r="A17" s="1760"/>
      <c r="B17" s="1679"/>
      <c r="C17" s="1680" t="s">
        <v>1958</v>
      </c>
      <c r="D17" s="1697"/>
      <c r="E17" s="1697"/>
      <c r="F17" s="1697">
        <v>65746</v>
      </c>
      <c r="G17" s="1697"/>
      <c r="H17" s="1697">
        <v>65746</v>
      </c>
      <c r="I17" s="1697"/>
      <c r="J17" s="1691"/>
      <c r="K17" s="2475" t="str">
        <f>CONCATENATE(K16,L16,M16,N16,O16,P16,Q16,R16,S16,T16,,U16)</f>
        <v>地上办公2080年1月1日地下仓储2080年1月1日</v>
      </c>
      <c r="L17" s="1720"/>
      <c r="M17" s="1720"/>
      <c r="N17" s="1691"/>
      <c r="O17" s="1692"/>
      <c r="P17" s="1691"/>
      <c r="Q17" s="1691"/>
      <c r="R17" s="1691"/>
      <c r="S17" s="1691"/>
      <c r="T17" s="1691"/>
      <c r="U17" s="1691"/>
    </row>
    <row r="18" spans="1:21">
      <c r="A18" s="1760"/>
      <c r="B18" s="1679"/>
      <c r="C18" s="1680" t="s">
        <v>1959</v>
      </c>
      <c r="D18" s="1681"/>
      <c r="E18" s="1681"/>
      <c r="F18" s="1681">
        <v>50</v>
      </c>
      <c r="G18" s="1681"/>
      <c r="H18" s="1681">
        <v>50</v>
      </c>
      <c r="I18" s="1681"/>
      <c r="J18" s="1691"/>
      <c r="K18" s="1771"/>
      <c r="L18" s="1720"/>
      <c r="M18" s="1720"/>
      <c r="N18" s="1691"/>
      <c r="O18" s="1692"/>
      <c r="P18" s="1691"/>
      <c r="Q18" s="1691"/>
      <c r="R18" s="1691"/>
      <c r="S18" s="1691"/>
      <c r="T18" s="1691"/>
      <c r="U18" s="1691"/>
    </row>
    <row r="19" spans="1:21">
      <c r="A19" s="1760"/>
      <c r="B19" s="1679"/>
      <c r="C19" s="1657" t="s">
        <v>1960</v>
      </c>
      <c r="D19" s="1755" t="str">
        <f>IF(B16="出让",IF(D17="","",ROUNDDOWN(MIN((D17-$D$3)/365,D18),2)),D18)</f>
        <v/>
      </c>
      <c r="E19" s="1682" t="str">
        <f>IF(B16="出让",IF(E17="","",ROUNDDOWN(MIN((E17-$D$3)/365,E18),2)),E18)</f>
        <v/>
      </c>
      <c r="F19" s="1682">
        <f>IF(B16="出让",IF(F17="","",ROUNDDOWN(MIN((F17-$D$3)/365,F18),2)),F18)</f>
        <v>50</v>
      </c>
      <c r="G19" s="1682" t="str">
        <f>IF(B16="出让",IF(G17="","",ROUNDDOWN(MIN((G17-$D$3)/365,G18),2)),G18)</f>
        <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395"/>
      <c r="E20" s="3396"/>
      <c r="F20" s="3396"/>
      <c r="G20" s="3396"/>
      <c r="H20" s="3396"/>
      <c r="I20" s="3397"/>
      <c r="J20" s="1691"/>
      <c r="K20" s="1771"/>
      <c r="L20" s="1720"/>
      <c r="M20" s="1720"/>
      <c r="N20" s="1691"/>
      <c r="O20" s="1692"/>
      <c r="P20" s="1691"/>
      <c r="Q20" s="1691"/>
      <c r="R20" s="1691"/>
      <c r="S20" s="1691"/>
      <c r="T20" s="1691"/>
      <c r="U20" s="1691"/>
    </row>
    <row r="21" spans="1:21">
      <c r="A21" s="1760" t="s">
        <v>1961</v>
      </c>
      <c r="B21" s="1761" t="s">
        <v>1962</v>
      </c>
      <c r="C21" s="1756">
        <f>'数据-汇总表'!E3</f>
        <v>10000</v>
      </c>
      <c r="D21" s="1757" t="s">
        <v>1963</v>
      </c>
      <c r="E21" s="3385" t="s">
        <v>2001</v>
      </c>
      <c r="F21" s="3386"/>
      <c r="G21" s="3386"/>
      <c r="H21" s="3386"/>
      <c r="I21" s="3387"/>
      <c r="J21" s="1691"/>
      <c r="K21" s="1771"/>
      <c r="L21" s="1720"/>
      <c r="M21" s="1720"/>
      <c r="N21" s="1691"/>
      <c r="O21" s="1692"/>
      <c r="P21" s="1691"/>
      <c r="Q21" s="1691"/>
      <c r="R21" s="1691"/>
      <c r="S21" s="1691"/>
      <c r="T21" s="1691"/>
      <c r="U21" s="1691"/>
    </row>
    <row r="22" spans="1:21">
      <c r="A22" s="3165" t="s">
        <v>952</v>
      </c>
      <c r="B22" s="1658" t="s">
        <v>1964</v>
      </c>
      <c r="C22" s="1683">
        <f>'数据-汇总表'!D3</f>
        <v>2079.0700000000002</v>
      </c>
      <c r="D22" s="1684" t="s">
        <v>1963</v>
      </c>
      <c r="E22" s="3385" t="s">
        <v>2893</v>
      </c>
      <c r="F22" s="3386"/>
      <c r="G22" s="3386"/>
      <c r="H22" s="3386"/>
      <c r="I22" s="3387"/>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88" t="s">
        <v>1969</v>
      </c>
      <c r="C24" s="3389"/>
      <c r="D24" s="3390" t="s">
        <v>1970</v>
      </c>
      <c r="E24" s="3391"/>
      <c r="F24" s="1705" t="s">
        <v>1971</v>
      </c>
      <c r="G24" s="1691"/>
      <c r="H24" s="1691"/>
      <c r="I24" s="1704"/>
      <c r="J24" s="1691"/>
      <c r="K24" s="3376" t="s">
        <v>1972</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76"/>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76"/>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1"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2"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2"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3" t="s">
        <v>1979</v>
      </c>
      <c r="E30" s="1715"/>
      <c r="F30" s="1686"/>
      <c r="G30" s="1739"/>
      <c r="H30" s="1739"/>
      <c r="I30" s="1740"/>
      <c r="J30" s="1691"/>
      <c r="K30" s="1771"/>
      <c r="L30" s="1720"/>
      <c r="M30" s="1720"/>
      <c r="N30" s="1691"/>
      <c r="O30" s="1692"/>
      <c r="P30" s="1691"/>
      <c r="Q30" s="1691"/>
      <c r="R30" s="1691"/>
      <c r="S30" s="1691"/>
      <c r="T30" s="1691"/>
      <c r="U30" s="1691"/>
    </row>
    <row r="31" spans="1:21" ht="15" thickTop="1">
      <c r="A31" s="3362" t="s">
        <v>2004</v>
      </c>
      <c r="B31" s="1761" t="s">
        <v>2005</v>
      </c>
      <c r="C31" s="3401" t="s">
        <v>3005</v>
      </c>
      <c r="D31" s="3402"/>
      <c r="E31" s="1691"/>
      <c r="F31" s="1691"/>
      <c r="G31" s="1691"/>
      <c r="H31" s="1691"/>
      <c r="I31" s="1704"/>
      <c r="J31" s="1691"/>
      <c r="K31" s="2478"/>
      <c r="L31" s="1691"/>
      <c r="M31" s="1691"/>
      <c r="N31" s="1691"/>
      <c r="O31" s="1691"/>
      <c r="P31" s="1691"/>
      <c r="Q31" s="1691"/>
      <c r="R31" s="1691"/>
      <c r="S31" s="1691"/>
      <c r="T31" s="1691"/>
      <c r="U31" s="1691"/>
    </row>
    <row r="32" spans="1:21">
      <c r="A32" s="3362"/>
      <c r="B32" s="1658" t="s">
        <v>2006</v>
      </c>
      <c r="C32" s="1716"/>
      <c r="D32" s="1717"/>
      <c r="E32" s="1691"/>
      <c r="F32" s="1691"/>
      <c r="G32" s="1691"/>
      <c r="H32" s="1691"/>
      <c r="I32" s="1704"/>
      <c r="J32" s="1691"/>
      <c r="K32" s="2478"/>
      <c r="L32" s="1691"/>
      <c r="M32" s="1691"/>
      <c r="N32" s="1691"/>
      <c r="O32" s="1691"/>
      <c r="P32" s="1691"/>
      <c r="Q32" s="1691"/>
      <c r="R32" s="1691"/>
      <c r="S32" s="1691"/>
      <c r="T32" s="1691"/>
      <c r="U32" s="1691"/>
    </row>
    <row r="33" spans="1:21">
      <c r="A33" s="3362"/>
      <c r="B33" s="1658" t="s">
        <v>2007</v>
      </c>
      <c r="C33" s="1718"/>
      <c r="D33" s="1835"/>
      <c r="E33" s="1691"/>
      <c r="F33" s="1691"/>
      <c r="G33" s="1691"/>
      <c r="H33" s="1691"/>
      <c r="I33" s="1704"/>
      <c r="J33" s="1691"/>
      <c r="K33" s="2478"/>
      <c r="L33" s="1691"/>
      <c r="M33" s="1691"/>
      <c r="N33" s="1691"/>
      <c r="O33" s="1691"/>
      <c r="P33" s="1691"/>
      <c r="Q33" s="1691"/>
      <c r="R33" s="1691"/>
      <c r="S33" s="1691"/>
      <c r="T33" s="1691"/>
      <c r="U33" s="1691"/>
    </row>
    <row r="34" spans="1:21">
      <c r="A34" s="3363"/>
      <c r="B34" s="1658" t="s">
        <v>2008</v>
      </c>
      <c r="C34" s="3364"/>
      <c r="D34" s="3365"/>
      <c r="E34" s="1691"/>
      <c r="F34" s="1691"/>
      <c r="G34" s="1691"/>
      <c r="H34" s="1691"/>
      <c r="I34" s="1704"/>
      <c r="J34" s="1691"/>
      <c r="K34" s="2478"/>
      <c r="L34" s="1691"/>
      <c r="M34" s="1691"/>
      <c r="N34" s="1691"/>
      <c r="O34" s="1691"/>
      <c r="P34" s="1691"/>
      <c r="Q34" s="1691"/>
      <c r="R34" s="1691"/>
      <c r="S34" s="1691"/>
      <c r="T34" s="1691"/>
      <c r="U34" s="1691"/>
    </row>
    <row r="35" spans="1:21">
      <c r="A35" s="3366" t="s">
        <v>847</v>
      </c>
      <c r="B35" s="1719"/>
      <c r="C35" s="1773" t="str">
        <f>IF(B35="场地平整","——","具体情况：")</f>
        <v>具体情况：</v>
      </c>
      <c r="D35" s="3368"/>
      <c r="E35" s="3369"/>
      <c r="F35" s="3369"/>
      <c r="G35" s="3369"/>
      <c r="H35" s="3369"/>
      <c r="I35" s="3370"/>
      <c r="J35" s="1691"/>
      <c r="K35" s="1772"/>
      <c r="L35" s="1720"/>
      <c r="M35" s="1720"/>
      <c r="N35" s="1691"/>
      <c r="O35" s="1692"/>
      <c r="P35" s="1691"/>
      <c r="Q35" s="1691"/>
      <c r="R35" s="1691"/>
      <c r="S35" s="1691"/>
      <c r="T35" s="1691"/>
      <c r="U35" s="1691"/>
    </row>
    <row r="36" spans="1:21">
      <c r="A36" s="3362"/>
      <c r="B36" s="3371" t="s">
        <v>2057</v>
      </c>
      <c r="C36" s="3372"/>
      <c r="D36" s="1789"/>
      <c r="E36" s="3373"/>
      <c r="F36" s="3373"/>
      <c r="G36" s="1684" t="str">
        <f>IF(B35="场地未平整","估价结果处理","")</f>
        <v/>
      </c>
      <c r="H36" s="3374"/>
      <c r="I36" s="3374"/>
      <c r="J36" s="1691"/>
      <c r="K36" s="1772"/>
      <c r="L36" s="1720"/>
      <c r="M36" s="1720"/>
      <c r="N36" s="1691"/>
      <c r="O36" s="1692"/>
      <c r="P36" s="1691"/>
      <c r="Q36" s="1691"/>
      <c r="R36" s="1691"/>
      <c r="S36" s="1691"/>
      <c r="T36" s="1691"/>
      <c r="U36" s="1691"/>
    </row>
    <row r="37" spans="1:21" ht="28.5">
      <c r="A37" s="3362"/>
      <c r="B37" s="339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62"/>
      <c r="B38" s="3393"/>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363"/>
      <c r="B39" s="339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3009</v>
      </c>
      <c r="C40" s="1687" t="s">
        <v>3010</v>
      </c>
      <c r="D40" s="1687" t="s">
        <v>3011</v>
      </c>
      <c r="E40" s="1687" t="s">
        <v>3012</v>
      </c>
      <c r="F40" s="1687" t="s">
        <v>3013</v>
      </c>
      <c r="G40" s="1687" t="s">
        <v>3014</v>
      </c>
      <c r="H40" s="1687" t="s">
        <v>3015</v>
      </c>
      <c r="I40" s="1704"/>
      <c r="J40" s="1691"/>
      <c r="K40" s="1727">
        <f>COUNTIF(B40:H40,"——")</f>
        <v>0</v>
      </c>
      <c r="L40" s="1696" t="s">
        <v>1981</v>
      </c>
      <c r="M40" s="1693" t="s">
        <v>1982</v>
      </c>
      <c r="N40" s="1693" t="s">
        <v>1983</v>
      </c>
      <c r="O40" s="1693" t="s">
        <v>1984</v>
      </c>
      <c r="P40" s="1693" t="s">
        <v>1985</v>
      </c>
      <c r="Q40" s="1693" t="s">
        <v>1986</v>
      </c>
      <c r="R40" s="1693" t="s">
        <v>1987</v>
      </c>
      <c r="S40" s="3375" t="s">
        <v>1988</v>
      </c>
      <c r="T40" s="1728" t="str">
        <f>NUMBERSTRING(7-K40,1)&amp;"通"</f>
        <v>七通</v>
      </c>
      <c r="U40" s="1691"/>
    </row>
    <row r="41" spans="1:21">
      <c r="A41" s="1660"/>
      <c r="B41" s="3367" t="s">
        <v>1722</v>
      </c>
      <c r="C41" s="3367"/>
      <c r="D41" s="3367"/>
      <c r="E41" s="3367"/>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375"/>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t="s">
        <v>1156</v>
      </c>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t="s">
        <v>3006</v>
      </c>
      <c r="D44" s="1735"/>
      <c r="E44" s="1789"/>
      <c r="F44" s="1736"/>
      <c r="G44" s="1691"/>
      <c r="H44" s="1691"/>
      <c r="I44" s="1704"/>
      <c r="J44" s="1691"/>
      <c r="K44" s="1771"/>
      <c r="L44" s="1720"/>
      <c r="M44" s="1720"/>
      <c r="N44" s="1691"/>
      <c r="O44" s="1692"/>
      <c r="P44" s="1691"/>
      <c r="Q44" s="1691"/>
      <c r="R44" s="1691"/>
      <c r="S44" s="1691"/>
      <c r="T44" s="1691"/>
      <c r="U44" s="1691"/>
    </row>
    <row r="45" spans="1:21" s="3091" customFormat="1" ht="21" thickBot="1">
      <c r="A45" s="3092" t="s">
        <v>2894</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0"/>
      <c r="E2" s="1001"/>
      <c r="F2" s="4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v>2079.0700000000002</v>
      </c>
      <c r="B3" s="21">
        <f>IF(C3="否",G5-AT5,G5)</f>
        <v>10000</v>
      </c>
      <c r="C3" s="22"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169">
        <f>A3</f>
        <v>2079.0700000000002</v>
      </c>
      <c r="AZ3" s="20">
        <f>B3</f>
        <v>10000</v>
      </c>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3"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5"/>
      <c r="AT8" s="2326"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37" t="s">
        <v>2987</v>
      </c>
      <c r="J9" s="49"/>
      <c r="K9" s="3037"/>
      <c r="L9" s="49"/>
      <c r="M9" s="3037"/>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4" t="s">
        <v>191</v>
      </c>
      <c r="AQ9" s="1186"/>
      <c r="AR9" s="1184" t="s">
        <v>192</v>
      </c>
      <c r="AS9" s="2327"/>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37" t="s">
        <v>1678</v>
      </c>
      <c r="J10" s="49"/>
      <c r="K10" s="3039"/>
      <c r="L10" s="49"/>
      <c r="M10" s="3039"/>
      <c r="N10" s="49"/>
      <c r="O10" s="64"/>
      <c r="P10" s="49"/>
      <c r="Q10" s="64"/>
      <c r="R10" s="49"/>
      <c r="S10" s="64"/>
      <c r="T10" s="49"/>
      <c r="U10" s="64"/>
      <c r="V10" s="49"/>
      <c r="W10" s="64"/>
      <c r="X10" s="49"/>
      <c r="Y10" s="64"/>
      <c r="Z10" s="49"/>
      <c r="AA10" s="64"/>
      <c r="AB10" s="49"/>
      <c r="AC10" s="53"/>
      <c r="AD10" s="2312" t="s">
        <v>2320</v>
      </c>
      <c r="AE10" s="2334"/>
      <c r="AF10" s="2312" t="s">
        <v>2320</v>
      </c>
      <c r="AG10" s="2334"/>
      <c r="AH10" s="2312" t="s">
        <v>2321</v>
      </c>
      <c r="AI10" s="2334"/>
      <c r="AJ10" s="24" t="s">
        <v>2334</v>
      </c>
      <c r="AK10" s="2331"/>
      <c r="AL10" s="2312" t="s">
        <v>2322</v>
      </c>
      <c r="AM10" s="2313"/>
      <c r="AN10" s="24" t="s">
        <v>198</v>
      </c>
      <c r="AO10" s="59"/>
      <c r="AP10" s="1184" t="s">
        <v>199</v>
      </c>
      <c r="AQ10" s="1186"/>
      <c r="AR10" s="1184" t="s">
        <v>199</v>
      </c>
      <c r="AS10" s="1186"/>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38"/>
      <c r="J11" s="69"/>
      <c r="K11" s="3038"/>
      <c r="L11" s="69"/>
      <c r="M11" s="68"/>
      <c r="N11" s="69"/>
      <c r="O11" s="68"/>
      <c r="P11" s="69"/>
      <c r="Q11" s="68"/>
      <c r="R11" s="69"/>
      <c r="S11" s="68"/>
      <c r="T11" s="69"/>
      <c r="U11" s="68"/>
      <c r="V11" s="69"/>
      <c r="W11" s="68"/>
      <c r="X11" s="69"/>
      <c r="Y11" s="68"/>
      <c r="Z11" s="69"/>
      <c r="AA11" s="68"/>
      <c r="AB11" s="69"/>
      <c r="AC11" s="53"/>
      <c r="AD11" s="2332" t="s">
        <v>2333</v>
      </c>
      <c r="AE11" s="1000"/>
      <c r="AF11" s="2332" t="s">
        <v>2333</v>
      </c>
      <c r="AG11" s="1000"/>
      <c r="AH11" s="2332" t="s">
        <v>2332</v>
      </c>
      <c r="AI11" s="2333"/>
      <c r="AJ11" s="2332" t="s">
        <v>2332</v>
      </c>
      <c r="AK11" s="2331"/>
      <c r="AL11" s="998"/>
      <c r="AM11" s="1000"/>
      <c r="AN11" s="998"/>
      <c r="AO11" s="1000"/>
      <c r="AP11" s="1185"/>
      <c r="AQ11" s="1187"/>
      <c r="AR11" s="1185"/>
      <c r="AS11" s="1187"/>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3" t="s">
        <v>200</v>
      </c>
      <c r="AQ12" s="1183" t="s">
        <v>201</v>
      </c>
      <c r="AR12" s="1189" t="s">
        <v>200</v>
      </c>
      <c r="AS12" s="1188"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2" t="s">
        <v>2986</v>
      </c>
      <c r="B13" s="3032"/>
      <c r="C13" s="3032"/>
      <c r="D13" s="3033"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6">
        <v>10000</v>
      </c>
      <c r="J13" s="3036"/>
      <c r="K13" s="3036"/>
      <c r="L13" s="3036"/>
      <c r="M13" s="3036"/>
      <c r="N13" s="81"/>
      <c r="O13" s="81"/>
      <c r="P13" s="81"/>
      <c r="Q13" s="81"/>
      <c r="R13" s="81"/>
      <c r="S13" s="81"/>
      <c r="T13" s="81"/>
      <c r="U13" s="81"/>
      <c r="V13" s="81"/>
      <c r="W13" s="81"/>
      <c r="X13" s="81"/>
      <c r="Y13" s="81"/>
      <c r="Z13" s="81"/>
      <c r="AA13" s="81"/>
      <c r="AB13" s="81"/>
      <c r="AC13" s="25">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2"/>
      <c r="B14" s="3032"/>
      <c r="C14" s="3034"/>
      <c r="D14" s="3033"/>
      <c r="E14" s="25">
        <f t="shared" si="6"/>
        <v>0</v>
      </c>
      <c r="F14" s="79"/>
      <c r="G14" s="80">
        <f t="shared" si="7"/>
        <v>0</v>
      </c>
      <c r="H14" s="31">
        <f t="shared" si="8"/>
        <v>0</v>
      </c>
      <c r="I14" s="3036"/>
      <c r="J14" s="3036"/>
      <c r="K14" s="3036"/>
      <c r="L14" s="3036"/>
      <c r="M14" s="3036"/>
      <c r="N14" s="81"/>
      <c r="O14" s="81"/>
      <c r="P14" s="81"/>
      <c r="Q14" s="81"/>
      <c r="R14" s="81"/>
      <c r="S14" s="81"/>
      <c r="T14" s="81"/>
      <c r="U14" s="81"/>
      <c r="V14" s="81"/>
      <c r="W14" s="81"/>
      <c r="X14" s="81"/>
      <c r="Y14" s="81"/>
      <c r="Z14" s="81"/>
      <c r="AA14" s="81"/>
      <c r="AB14" s="81"/>
      <c r="AC14" s="25">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2"/>
      <c r="B15" s="3032"/>
      <c r="C15" s="3034"/>
      <c r="D15" s="3033"/>
      <c r="E15" s="25">
        <f t="shared" si="6"/>
        <v>0</v>
      </c>
      <c r="F15" s="79"/>
      <c r="G15" s="80">
        <f t="shared" si="7"/>
        <v>0</v>
      </c>
      <c r="H15" s="31">
        <f t="shared" si="8"/>
        <v>0</v>
      </c>
      <c r="I15" s="3036"/>
      <c r="J15" s="3036"/>
      <c r="K15" s="3036"/>
      <c r="L15" s="3036"/>
      <c r="M15" s="3036"/>
      <c r="N15" s="81"/>
      <c r="O15" s="81"/>
      <c r="P15" s="81"/>
      <c r="Q15" s="81"/>
      <c r="R15" s="81"/>
      <c r="S15" s="81"/>
      <c r="T15" s="81"/>
      <c r="U15" s="81"/>
      <c r="V15" s="81"/>
      <c r="W15" s="81"/>
      <c r="X15" s="81"/>
      <c r="Y15" s="81"/>
      <c r="Z15" s="81"/>
      <c r="AA15" s="81"/>
      <c r="AB15" s="81"/>
      <c r="AC15" s="25">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2"/>
      <c r="B16" s="3032"/>
      <c r="C16" s="3034"/>
      <c r="D16" s="3033"/>
      <c r="E16" s="25">
        <f t="shared" si="6"/>
        <v>0</v>
      </c>
      <c r="F16" s="79"/>
      <c r="G16" s="80">
        <f t="shared" si="7"/>
        <v>0</v>
      </c>
      <c r="H16" s="31">
        <f t="shared" si="8"/>
        <v>0</v>
      </c>
      <c r="I16" s="3036"/>
      <c r="J16" s="3036"/>
      <c r="K16" s="3036"/>
      <c r="L16" s="3036"/>
      <c r="M16" s="3036"/>
      <c r="N16" s="81"/>
      <c r="O16" s="81"/>
      <c r="P16" s="81"/>
      <c r="Q16" s="81"/>
      <c r="R16" s="81"/>
      <c r="S16" s="81"/>
      <c r="T16" s="81"/>
      <c r="U16" s="81"/>
      <c r="V16" s="81"/>
      <c r="W16" s="81"/>
      <c r="X16" s="81"/>
      <c r="Y16" s="81"/>
      <c r="Z16" s="81"/>
      <c r="AA16" s="81"/>
      <c r="AB16" s="81"/>
      <c r="AC16" s="25">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2"/>
      <c r="B17" s="3032"/>
      <c r="C17" s="3034"/>
      <c r="D17" s="3033"/>
      <c r="E17" s="25">
        <f t="shared" si="6"/>
        <v>0</v>
      </c>
      <c r="F17" s="79"/>
      <c r="G17" s="80">
        <f t="shared" si="7"/>
        <v>0</v>
      </c>
      <c r="H17" s="31">
        <f t="shared" si="8"/>
        <v>0</v>
      </c>
      <c r="I17" s="3036"/>
      <c r="J17" s="3036"/>
      <c r="K17" s="3036"/>
      <c r="L17" s="3036"/>
      <c r="M17" s="3036"/>
      <c r="N17" s="81"/>
      <c r="O17" s="81"/>
      <c r="P17" s="81"/>
      <c r="Q17" s="81"/>
      <c r="R17" s="81"/>
      <c r="S17" s="81"/>
      <c r="T17" s="81"/>
      <c r="U17" s="81"/>
      <c r="V17" s="81"/>
      <c r="W17" s="81"/>
      <c r="X17" s="81"/>
      <c r="Y17" s="81"/>
      <c r="Z17" s="81"/>
      <c r="AA17" s="81"/>
      <c r="AB17" s="81"/>
      <c r="AC17" s="25">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5"/>
      <c r="E18" s="85">
        <f t="shared" si="6"/>
        <v>0</v>
      </c>
      <c r="F18" s="86"/>
      <c r="G18" s="87">
        <f t="shared" si="7"/>
        <v>0</v>
      </c>
      <c r="H18" s="88">
        <f t="shared" si="8"/>
        <v>0</v>
      </c>
      <c r="I18" s="1392"/>
      <c r="J18" s="89"/>
      <c r="K18" s="1392"/>
      <c r="L18" s="89"/>
      <c r="M18" s="89"/>
      <c r="N18" s="89"/>
      <c r="O18" s="89"/>
      <c r="P18" s="89"/>
      <c r="Q18" s="89"/>
      <c r="R18" s="89"/>
      <c r="S18" s="89"/>
      <c r="T18" s="89"/>
      <c r="U18" s="89"/>
      <c r="V18" s="89"/>
      <c r="W18" s="89"/>
      <c r="X18" s="89"/>
      <c r="Y18" s="89"/>
      <c r="Z18" s="89"/>
      <c r="AA18" s="89"/>
      <c r="AB18" s="89"/>
      <c r="AC18" s="85">
        <f t="shared" si="9"/>
        <v>0</v>
      </c>
      <c r="AD18" s="90"/>
      <c r="AE18" s="90"/>
      <c r="AF18" s="1392"/>
      <c r="AG18" s="90"/>
      <c r="AH18" s="90"/>
      <c r="AI18" s="90"/>
      <c r="AJ18" s="90"/>
      <c r="AK18" s="90"/>
      <c r="AL18" s="1361"/>
      <c r="AM18" s="90"/>
      <c r="AN18" s="1392"/>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6"/>
      <c r="C19" s="1392"/>
      <c r="D19" s="78"/>
      <c r="E19" s="85">
        <f t="shared" si="6"/>
        <v>0</v>
      </c>
      <c r="F19" s="86"/>
      <c r="G19" s="87">
        <f t="shared" si="7"/>
        <v>0</v>
      </c>
      <c r="H19" s="88">
        <f t="shared" si="8"/>
        <v>0</v>
      </c>
      <c r="I19" s="1392"/>
      <c r="J19" s="89"/>
      <c r="K19" s="1392"/>
      <c r="L19" s="89"/>
      <c r="M19" s="89"/>
      <c r="N19" s="89"/>
      <c r="O19" s="89"/>
      <c r="P19" s="89"/>
      <c r="Q19" s="89"/>
      <c r="R19" s="89"/>
      <c r="S19" s="89"/>
      <c r="T19" s="89"/>
      <c r="U19" s="89"/>
      <c r="V19" s="89"/>
      <c r="W19" s="89"/>
      <c r="X19" s="89"/>
      <c r="Y19" s="89"/>
      <c r="Z19" s="89"/>
      <c r="AA19" s="89"/>
      <c r="AB19" s="89"/>
      <c r="AC19" s="85">
        <f t="shared" si="9"/>
        <v>0</v>
      </c>
      <c r="AD19" s="90"/>
      <c r="AE19" s="90"/>
      <c r="AF19" s="1392"/>
      <c r="AG19" s="90"/>
      <c r="AH19" s="90"/>
      <c r="AI19" s="90"/>
      <c r="AJ19" s="90"/>
      <c r="AK19" s="90"/>
      <c r="AL19" s="90"/>
      <c r="AM19" s="90"/>
      <c r="AN19" s="1392"/>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6"/>
      <c r="C20" s="1392"/>
      <c r="D20" s="78"/>
      <c r="E20" s="85">
        <f t="shared" si="6"/>
        <v>0</v>
      </c>
      <c r="F20" s="86"/>
      <c r="G20" s="87">
        <f t="shared" si="7"/>
        <v>0</v>
      </c>
      <c r="H20" s="88">
        <f t="shared" si="8"/>
        <v>0</v>
      </c>
      <c r="I20" s="1392"/>
      <c r="J20" s="89"/>
      <c r="K20" s="1392"/>
      <c r="L20" s="89"/>
      <c r="M20" s="89"/>
      <c r="N20" s="89"/>
      <c r="O20" s="89"/>
      <c r="P20" s="89"/>
      <c r="Q20" s="89"/>
      <c r="R20" s="89"/>
      <c r="S20" s="89"/>
      <c r="T20" s="89"/>
      <c r="U20" s="89"/>
      <c r="V20" s="89"/>
      <c r="W20" s="89"/>
      <c r="X20" s="89"/>
      <c r="Y20" s="89"/>
      <c r="Z20" s="89"/>
      <c r="AA20" s="89"/>
      <c r="AB20" s="89"/>
      <c r="AC20" s="85">
        <f t="shared" si="9"/>
        <v>0</v>
      </c>
      <c r="AD20" s="90"/>
      <c r="AE20" s="90"/>
      <c r="AF20" s="1392"/>
      <c r="AG20" s="90"/>
      <c r="AH20" s="90"/>
      <c r="AI20" s="90"/>
      <c r="AJ20" s="90"/>
      <c r="AK20" s="90"/>
      <c r="AL20" s="90"/>
      <c r="AM20" s="90"/>
      <c r="AN20" s="1392"/>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1"/>
      <c r="C21" s="1392"/>
      <c r="D21" s="78"/>
      <c r="E21" s="85">
        <f t="shared" ref="E21:E112" si="33">IF($C$3="是",ROUND($A$3*G21/$B$3,2),ROUND($A$3*(G21-AT21)/$B$3,2))</f>
        <v>0</v>
      </c>
      <c r="F21" s="86"/>
      <c r="G21" s="87">
        <f t="shared" ref="G21:G109" si="34">H21+AC21+AT21</f>
        <v>0</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5"/>
      <c r="AG21" s="90"/>
      <c r="AH21" s="90"/>
      <c r="AI21" s="90"/>
      <c r="AJ21" s="90"/>
      <c r="AK21" s="90"/>
      <c r="AL21" s="90"/>
      <c r="AM21" s="90"/>
      <c r="AN21" s="1361"/>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1"/>
      <c r="C22" s="1392"/>
      <c r="D22" s="78"/>
      <c r="E22" s="85">
        <f t="shared" si="33"/>
        <v>0</v>
      </c>
      <c r="F22" s="86"/>
      <c r="G22" s="87">
        <f t="shared" si="34"/>
        <v>0</v>
      </c>
      <c r="H22" s="88">
        <f t="shared" si="35"/>
        <v>0</v>
      </c>
      <c r="I22" s="1394"/>
      <c r="J22" s="89"/>
      <c r="K22" s="1394"/>
      <c r="L22" s="89"/>
      <c r="M22" s="1361"/>
      <c r="N22" s="89"/>
      <c r="O22" s="89"/>
      <c r="P22" s="89"/>
      <c r="Q22" s="89"/>
      <c r="R22" s="89"/>
      <c r="S22" s="89"/>
      <c r="T22" s="89"/>
      <c r="U22" s="89"/>
      <c r="V22" s="89"/>
      <c r="W22" s="89"/>
      <c r="X22" s="89"/>
      <c r="Y22" s="89"/>
      <c r="Z22" s="89"/>
      <c r="AA22" s="89"/>
      <c r="AB22" s="89"/>
      <c r="AC22" s="85">
        <f t="shared" si="36"/>
        <v>0</v>
      </c>
      <c r="AD22" s="1361"/>
      <c r="AE22" s="90"/>
      <c r="AF22" s="1395"/>
      <c r="AG22" s="90"/>
      <c r="AH22" s="90"/>
      <c r="AI22" s="90"/>
      <c r="AJ22" s="90"/>
      <c r="AK22" s="90"/>
      <c r="AL22" s="1361"/>
      <c r="AM22" s="90"/>
      <c r="AN22" s="1361"/>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1392"/>
      <c r="D23" s="78"/>
      <c r="E23" s="85">
        <f t="shared" si="33"/>
        <v>0</v>
      </c>
      <c r="F23" s="86"/>
      <c r="G23" s="87">
        <f t="shared" si="34"/>
        <v>0</v>
      </c>
      <c r="H23" s="88">
        <f t="shared" si="35"/>
        <v>0</v>
      </c>
      <c r="I23" s="1394"/>
      <c r="J23" s="89"/>
      <c r="K23" s="1394"/>
      <c r="L23" s="89"/>
      <c r="M23" s="1361"/>
      <c r="N23" s="89"/>
      <c r="O23" s="89"/>
      <c r="P23" s="89"/>
      <c r="Q23" s="89"/>
      <c r="R23" s="89"/>
      <c r="S23" s="89"/>
      <c r="T23" s="89"/>
      <c r="U23" s="89"/>
      <c r="V23" s="89"/>
      <c r="W23" s="89"/>
      <c r="X23" s="89"/>
      <c r="Y23" s="89"/>
      <c r="Z23" s="89"/>
      <c r="AA23" s="89"/>
      <c r="AB23" s="89"/>
      <c r="AC23" s="85">
        <f t="shared" si="36"/>
        <v>0</v>
      </c>
      <c r="AD23" s="90"/>
      <c r="AE23" s="90"/>
      <c r="AF23" s="1395"/>
      <c r="AG23" s="90"/>
      <c r="AH23" s="90"/>
      <c r="AI23" s="90"/>
      <c r="AJ23" s="90"/>
      <c r="AK23" s="90"/>
      <c r="AL23" s="1361"/>
      <c r="AM23" s="90"/>
      <c r="AN23" s="1361"/>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1"/>
      <c r="C24" s="1392"/>
      <c r="D24" s="78"/>
      <c r="E24" s="85">
        <f t="shared" si="33"/>
        <v>0</v>
      </c>
      <c r="F24" s="86"/>
      <c r="G24" s="87">
        <f t="shared" si="34"/>
        <v>0</v>
      </c>
      <c r="H24" s="88">
        <f t="shared" si="35"/>
        <v>0</v>
      </c>
      <c r="I24" s="1394"/>
      <c r="J24" s="89"/>
      <c r="K24" s="1394"/>
      <c r="L24" s="89"/>
      <c r="M24" s="89"/>
      <c r="N24" s="89"/>
      <c r="O24" s="1361"/>
      <c r="P24" s="89"/>
      <c r="Q24" s="89"/>
      <c r="R24" s="89"/>
      <c r="S24" s="89"/>
      <c r="T24" s="89"/>
      <c r="U24" s="89"/>
      <c r="V24" s="89"/>
      <c r="W24" s="89"/>
      <c r="X24" s="89"/>
      <c r="Y24" s="89"/>
      <c r="Z24" s="89"/>
      <c r="AA24" s="89"/>
      <c r="AB24" s="89"/>
      <c r="AC24" s="85">
        <f t="shared" si="36"/>
        <v>0</v>
      </c>
      <c r="AD24" s="90"/>
      <c r="AE24" s="90"/>
      <c r="AF24" s="1395"/>
      <c r="AG24" s="90"/>
      <c r="AH24" s="90"/>
      <c r="AI24" s="90"/>
      <c r="AJ24" s="90"/>
      <c r="AK24" s="90"/>
      <c r="AL24" s="90"/>
      <c r="AM24" s="90"/>
      <c r="AN24" s="1361"/>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1"/>
      <c r="C25" s="1392"/>
      <c r="D25" s="78"/>
      <c r="E25" s="85">
        <f t="shared" si="33"/>
        <v>0</v>
      </c>
      <c r="F25" s="86"/>
      <c r="G25" s="87">
        <f t="shared" si="34"/>
        <v>0</v>
      </c>
      <c r="H25" s="88">
        <f t="shared" si="35"/>
        <v>0</v>
      </c>
      <c r="I25" s="1394"/>
      <c r="J25" s="89"/>
      <c r="K25" s="1394"/>
      <c r="L25" s="89"/>
      <c r="M25" s="89"/>
      <c r="N25" s="89"/>
      <c r="O25" s="89"/>
      <c r="P25" s="89"/>
      <c r="Q25" s="89"/>
      <c r="R25" s="89"/>
      <c r="S25" s="89"/>
      <c r="T25" s="89"/>
      <c r="U25" s="89"/>
      <c r="V25" s="89"/>
      <c r="W25" s="89"/>
      <c r="X25" s="89"/>
      <c r="Y25" s="89"/>
      <c r="Z25" s="89"/>
      <c r="AA25" s="89"/>
      <c r="AB25" s="89"/>
      <c r="AC25" s="85">
        <f t="shared" si="36"/>
        <v>0</v>
      </c>
      <c r="AD25" s="90"/>
      <c r="AE25" s="90"/>
      <c r="AF25" s="1395"/>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1"/>
      <c r="C26" s="1392"/>
      <c r="D26" s="78"/>
      <c r="E26" s="85">
        <f t="shared" si="33"/>
        <v>0</v>
      </c>
      <c r="F26" s="86"/>
      <c r="G26" s="87">
        <f t="shared" si="34"/>
        <v>0</v>
      </c>
      <c r="H26" s="88">
        <f t="shared" si="35"/>
        <v>0</v>
      </c>
      <c r="I26" s="1394"/>
      <c r="J26" s="89"/>
      <c r="K26" s="1394"/>
      <c r="L26" s="89"/>
      <c r="M26" s="89"/>
      <c r="N26" s="89"/>
      <c r="O26" s="89"/>
      <c r="P26" s="89"/>
      <c r="Q26" s="89"/>
      <c r="R26" s="89"/>
      <c r="S26" s="89"/>
      <c r="T26" s="89"/>
      <c r="U26" s="89"/>
      <c r="V26" s="89"/>
      <c r="W26" s="89"/>
      <c r="X26" s="89"/>
      <c r="Y26" s="89"/>
      <c r="Z26" s="89"/>
      <c r="AA26" s="89"/>
      <c r="AB26" s="89"/>
      <c r="AC26" s="85">
        <f t="shared" si="36"/>
        <v>0</v>
      </c>
      <c r="AD26" s="90"/>
      <c r="AE26" s="90"/>
      <c r="AF26" s="1395"/>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1"/>
      <c r="C27" s="1392"/>
      <c r="D27" s="78"/>
      <c r="E27" s="85">
        <f t="shared" si="33"/>
        <v>0</v>
      </c>
      <c r="F27" s="86"/>
      <c r="G27" s="87">
        <f t="shared" si="34"/>
        <v>0</v>
      </c>
      <c r="H27" s="88">
        <f t="shared" si="35"/>
        <v>0</v>
      </c>
      <c r="I27" s="1394"/>
      <c r="J27" s="89"/>
      <c r="K27" s="1394"/>
      <c r="L27" s="89"/>
      <c r="M27" s="89"/>
      <c r="N27" s="89"/>
      <c r="O27" s="89"/>
      <c r="P27" s="89"/>
      <c r="Q27" s="89"/>
      <c r="R27" s="89"/>
      <c r="S27" s="89"/>
      <c r="T27" s="89"/>
      <c r="U27" s="89"/>
      <c r="V27" s="89"/>
      <c r="W27" s="89"/>
      <c r="X27" s="89"/>
      <c r="Y27" s="89"/>
      <c r="Z27" s="89"/>
      <c r="AA27" s="89"/>
      <c r="AB27" s="89"/>
      <c r="AC27" s="85">
        <f t="shared" si="36"/>
        <v>0</v>
      </c>
      <c r="AD27" s="90"/>
      <c r="AE27" s="90"/>
      <c r="AF27" s="1395"/>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1"/>
      <c r="C28" s="1392"/>
      <c r="D28" s="78"/>
      <c r="E28" s="85">
        <f t="shared" si="33"/>
        <v>0</v>
      </c>
      <c r="F28" s="86"/>
      <c r="G28" s="87">
        <f t="shared" si="34"/>
        <v>0</v>
      </c>
      <c r="H28" s="88">
        <f t="shared" si="35"/>
        <v>0</v>
      </c>
      <c r="I28" s="1394"/>
      <c r="J28" s="89"/>
      <c r="K28" s="1394"/>
      <c r="L28" s="89"/>
      <c r="M28" s="89"/>
      <c r="N28" s="89"/>
      <c r="O28" s="89"/>
      <c r="P28" s="89"/>
      <c r="Q28" s="89"/>
      <c r="R28" s="89"/>
      <c r="S28" s="89"/>
      <c r="T28" s="89"/>
      <c r="U28" s="89"/>
      <c r="V28" s="89"/>
      <c r="W28" s="89"/>
      <c r="X28" s="89"/>
      <c r="Y28" s="89"/>
      <c r="Z28" s="89"/>
      <c r="AA28" s="89"/>
      <c r="AB28" s="89"/>
      <c r="AC28" s="85">
        <f t="shared" si="36"/>
        <v>0</v>
      </c>
      <c r="AD28" s="90"/>
      <c r="AE28" s="90"/>
      <c r="AF28" s="1394"/>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3"/>
      <c r="C29" s="1394"/>
      <c r="D29" s="78"/>
      <c r="E29" s="85">
        <f t="shared" si="33"/>
        <v>0</v>
      </c>
      <c r="F29" s="86"/>
      <c r="G29" s="87">
        <f t="shared" si="34"/>
        <v>0</v>
      </c>
      <c r="H29" s="88">
        <f t="shared" si="35"/>
        <v>0</v>
      </c>
      <c r="I29" s="1394"/>
      <c r="J29" s="89"/>
      <c r="K29" s="1394"/>
      <c r="L29" s="89"/>
      <c r="M29" s="89"/>
      <c r="N29" s="89"/>
      <c r="O29" s="89"/>
      <c r="P29" s="89"/>
      <c r="Q29" s="89"/>
      <c r="R29" s="89"/>
      <c r="S29" s="89"/>
      <c r="T29" s="89"/>
      <c r="U29" s="89"/>
      <c r="V29" s="89"/>
      <c r="W29" s="89"/>
      <c r="X29" s="89"/>
      <c r="Y29" s="89"/>
      <c r="Z29" s="89"/>
      <c r="AA29" s="89"/>
      <c r="AB29" s="89"/>
      <c r="AC29" s="85">
        <f t="shared" si="36"/>
        <v>0</v>
      </c>
      <c r="AD29" s="90"/>
      <c r="AE29" s="90"/>
      <c r="AF29" s="1394"/>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1"/>
      <c r="C30" s="1392"/>
      <c r="D30" s="78"/>
      <c r="E30" s="85">
        <f t="shared" si="33"/>
        <v>0</v>
      </c>
      <c r="F30" s="86"/>
      <c r="G30" s="87">
        <f t="shared" si="34"/>
        <v>0</v>
      </c>
      <c r="H30" s="88">
        <f t="shared" si="35"/>
        <v>0</v>
      </c>
      <c r="I30" s="1394"/>
      <c r="J30" s="89"/>
      <c r="K30" s="1394"/>
      <c r="L30" s="89"/>
      <c r="M30" s="89"/>
      <c r="N30" s="89"/>
      <c r="O30" s="89"/>
      <c r="P30" s="89"/>
      <c r="Q30" s="89"/>
      <c r="R30" s="89"/>
      <c r="S30" s="89"/>
      <c r="T30" s="89"/>
      <c r="U30" s="89"/>
      <c r="V30" s="89"/>
      <c r="W30" s="89"/>
      <c r="X30" s="89"/>
      <c r="Y30" s="89"/>
      <c r="Z30" s="89"/>
      <c r="AA30" s="89"/>
      <c r="AB30" s="89"/>
      <c r="AC30" s="85">
        <f t="shared" si="36"/>
        <v>0</v>
      </c>
      <c r="AD30" s="90"/>
      <c r="AE30" s="90"/>
      <c r="AF30" s="1394"/>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1"/>
      <c r="C31" s="1392"/>
      <c r="D31" s="78"/>
      <c r="E31" s="85">
        <f t="shared" si="33"/>
        <v>0</v>
      </c>
      <c r="F31" s="86"/>
      <c r="G31" s="87">
        <f t="shared" si="34"/>
        <v>0</v>
      </c>
      <c r="H31" s="88">
        <f t="shared" si="35"/>
        <v>0</v>
      </c>
      <c r="I31" s="1394"/>
      <c r="J31" s="89"/>
      <c r="K31" s="1394"/>
      <c r="L31" s="89"/>
      <c r="M31" s="89"/>
      <c r="N31" s="89"/>
      <c r="O31" s="89"/>
      <c r="P31" s="89"/>
      <c r="Q31" s="89"/>
      <c r="R31" s="89"/>
      <c r="S31" s="89"/>
      <c r="T31" s="89"/>
      <c r="U31" s="89"/>
      <c r="V31" s="89"/>
      <c r="W31" s="89"/>
      <c r="X31" s="89"/>
      <c r="Y31" s="89"/>
      <c r="Z31" s="89"/>
      <c r="AA31" s="89"/>
      <c r="AB31" s="89"/>
      <c r="AC31" s="85">
        <f t="shared" si="36"/>
        <v>0</v>
      </c>
      <c r="AD31" s="90"/>
      <c r="AE31" s="90"/>
      <c r="AF31" s="1394"/>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1"/>
      <c r="C32" s="1392"/>
      <c r="D32" s="78"/>
      <c r="E32" s="85">
        <f t="shared" si="33"/>
        <v>0</v>
      </c>
      <c r="F32" s="86"/>
      <c r="G32" s="87">
        <f t="shared" si="34"/>
        <v>0</v>
      </c>
      <c r="H32" s="88">
        <f t="shared" si="35"/>
        <v>0</v>
      </c>
      <c r="I32" s="1394"/>
      <c r="J32" s="89"/>
      <c r="K32" s="1394"/>
      <c r="L32" s="89"/>
      <c r="M32" s="89"/>
      <c r="N32" s="89"/>
      <c r="O32" s="89"/>
      <c r="P32" s="89"/>
      <c r="Q32" s="89"/>
      <c r="R32" s="89"/>
      <c r="S32" s="89"/>
      <c r="T32" s="89"/>
      <c r="U32" s="89"/>
      <c r="V32" s="89"/>
      <c r="W32" s="89"/>
      <c r="X32" s="89"/>
      <c r="Y32" s="89"/>
      <c r="Z32" s="89"/>
      <c r="AA32" s="89"/>
      <c r="AB32" s="89"/>
      <c r="AC32" s="85">
        <f t="shared" si="36"/>
        <v>0</v>
      </c>
      <c r="AD32" s="90"/>
      <c r="AE32" s="90"/>
      <c r="AF32" s="1394"/>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1"/>
      <c r="C33" s="1392"/>
      <c r="D33" s="78"/>
      <c r="E33" s="85">
        <f t="shared" si="33"/>
        <v>0</v>
      </c>
      <c r="F33" s="86"/>
      <c r="G33" s="87">
        <f t="shared" si="34"/>
        <v>0</v>
      </c>
      <c r="H33" s="88">
        <f t="shared" si="35"/>
        <v>0</v>
      </c>
      <c r="I33" s="1394"/>
      <c r="J33" s="89"/>
      <c r="K33" s="1394"/>
      <c r="L33" s="89"/>
      <c r="M33" s="89"/>
      <c r="N33" s="89"/>
      <c r="O33" s="89"/>
      <c r="P33" s="89"/>
      <c r="Q33" s="89"/>
      <c r="R33" s="89"/>
      <c r="S33" s="89"/>
      <c r="T33" s="89"/>
      <c r="U33" s="89"/>
      <c r="V33" s="89"/>
      <c r="W33" s="89"/>
      <c r="X33" s="89"/>
      <c r="Y33" s="89"/>
      <c r="Z33" s="89"/>
      <c r="AA33" s="89"/>
      <c r="AB33" s="89"/>
      <c r="AC33" s="85">
        <f t="shared" si="36"/>
        <v>0</v>
      </c>
      <c r="AD33" s="90"/>
      <c r="AE33" s="90"/>
      <c r="AF33" s="1394"/>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1"/>
      <c r="C34" s="1392"/>
      <c r="D34" s="78"/>
      <c r="E34" s="85">
        <f t="shared" si="33"/>
        <v>0</v>
      </c>
      <c r="F34" s="86"/>
      <c r="G34" s="87">
        <f t="shared" si="34"/>
        <v>0</v>
      </c>
      <c r="H34" s="88">
        <f t="shared" si="35"/>
        <v>0</v>
      </c>
      <c r="I34" s="1394"/>
      <c r="J34" s="89"/>
      <c r="K34" s="1394"/>
      <c r="L34" s="89"/>
      <c r="M34" s="89"/>
      <c r="N34" s="89"/>
      <c r="O34" s="89"/>
      <c r="P34" s="89"/>
      <c r="Q34" s="89"/>
      <c r="R34" s="89"/>
      <c r="S34" s="89"/>
      <c r="T34" s="89"/>
      <c r="U34" s="89"/>
      <c r="V34" s="89"/>
      <c r="W34" s="89"/>
      <c r="X34" s="89"/>
      <c r="Y34" s="89"/>
      <c r="Z34" s="89"/>
      <c r="AA34" s="89"/>
      <c r="AB34" s="89"/>
      <c r="AC34" s="85">
        <f t="shared" si="36"/>
        <v>0</v>
      </c>
      <c r="AD34" s="90"/>
      <c r="AE34" s="90"/>
      <c r="AF34" s="1394"/>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1"/>
      <c r="C35" s="1392"/>
      <c r="D35" s="78"/>
      <c r="E35" s="85">
        <f t="shared" si="33"/>
        <v>0</v>
      </c>
      <c r="F35" s="86"/>
      <c r="G35" s="87">
        <f t="shared" si="34"/>
        <v>0</v>
      </c>
      <c r="H35" s="88">
        <f t="shared" si="35"/>
        <v>0</v>
      </c>
      <c r="I35" s="1394"/>
      <c r="J35" s="89"/>
      <c r="K35" s="1394"/>
      <c r="L35" s="89"/>
      <c r="M35" s="89"/>
      <c r="N35" s="89"/>
      <c r="O35" s="89"/>
      <c r="P35" s="89"/>
      <c r="Q35" s="89"/>
      <c r="R35" s="89"/>
      <c r="S35" s="89"/>
      <c r="T35" s="89"/>
      <c r="U35" s="89"/>
      <c r="V35" s="89"/>
      <c r="W35" s="89"/>
      <c r="X35" s="89"/>
      <c r="Y35" s="89"/>
      <c r="Z35" s="89"/>
      <c r="AA35" s="89"/>
      <c r="AB35" s="89"/>
      <c r="AC35" s="85">
        <f t="shared" si="36"/>
        <v>0</v>
      </c>
      <c r="AD35" s="90"/>
      <c r="AE35" s="90"/>
      <c r="AF35" s="1394"/>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1"/>
      <c r="C36" s="1392"/>
      <c r="D36" s="78"/>
      <c r="E36" s="85">
        <f t="shared" si="33"/>
        <v>0</v>
      </c>
      <c r="F36" s="86"/>
      <c r="G36" s="87">
        <f t="shared" si="34"/>
        <v>0</v>
      </c>
      <c r="H36" s="88">
        <f t="shared" si="35"/>
        <v>0</v>
      </c>
      <c r="I36" s="1394"/>
      <c r="J36" s="89"/>
      <c r="K36" s="1394"/>
      <c r="L36" s="89"/>
      <c r="M36" s="89"/>
      <c r="N36" s="89"/>
      <c r="O36" s="89"/>
      <c r="P36" s="89"/>
      <c r="Q36" s="89"/>
      <c r="R36" s="89"/>
      <c r="S36" s="89"/>
      <c r="T36" s="89"/>
      <c r="U36" s="89"/>
      <c r="V36" s="89"/>
      <c r="W36" s="89"/>
      <c r="X36" s="89"/>
      <c r="Y36" s="89"/>
      <c r="Z36" s="89"/>
      <c r="AA36" s="89"/>
      <c r="AB36" s="89"/>
      <c r="AC36" s="85">
        <f t="shared" si="36"/>
        <v>0</v>
      </c>
      <c r="AD36" s="90"/>
      <c r="AE36" s="90"/>
      <c r="AF36" s="1394"/>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1"/>
      <c r="C37" s="1392"/>
      <c r="D37" s="78"/>
      <c r="E37" s="85">
        <f t="shared" si="33"/>
        <v>0</v>
      </c>
      <c r="F37" s="86"/>
      <c r="G37" s="87">
        <f t="shared" si="34"/>
        <v>0</v>
      </c>
      <c r="H37" s="88">
        <f t="shared" si="35"/>
        <v>0</v>
      </c>
      <c r="I37" s="1394"/>
      <c r="J37" s="89"/>
      <c r="K37" s="1394"/>
      <c r="L37" s="89"/>
      <c r="M37" s="89"/>
      <c r="N37" s="89"/>
      <c r="O37" s="89"/>
      <c r="P37" s="89"/>
      <c r="Q37" s="89"/>
      <c r="R37" s="89"/>
      <c r="S37" s="89"/>
      <c r="T37" s="89"/>
      <c r="U37" s="89"/>
      <c r="V37" s="89"/>
      <c r="W37" s="89"/>
      <c r="X37" s="89"/>
      <c r="Y37" s="89"/>
      <c r="Z37" s="89"/>
      <c r="AA37" s="89"/>
      <c r="AB37" s="89"/>
      <c r="AC37" s="85">
        <f t="shared" si="36"/>
        <v>0</v>
      </c>
      <c r="AD37" s="90"/>
      <c r="AE37" s="90"/>
      <c r="AF37" s="1394"/>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1"/>
      <c r="C38" s="1392"/>
      <c r="D38" s="78"/>
      <c r="E38" s="85">
        <f t="shared" si="33"/>
        <v>0</v>
      </c>
      <c r="F38" s="86"/>
      <c r="G38" s="87">
        <f t="shared" si="34"/>
        <v>0</v>
      </c>
      <c r="H38" s="88">
        <f t="shared" si="35"/>
        <v>0</v>
      </c>
      <c r="I38" s="1394"/>
      <c r="J38" s="89"/>
      <c r="K38" s="1394"/>
      <c r="L38" s="89"/>
      <c r="M38" s="89"/>
      <c r="N38" s="89"/>
      <c r="O38" s="89"/>
      <c r="P38" s="89"/>
      <c r="Q38" s="89"/>
      <c r="R38" s="89"/>
      <c r="S38" s="89"/>
      <c r="T38" s="89"/>
      <c r="U38" s="89"/>
      <c r="V38" s="89"/>
      <c r="W38" s="89"/>
      <c r="X38" s="89"/>
      <c r="Y38" s="89"/>
      <c r="Z38" s="89"/>
      <c r="AA38" s="89"/>
      <c r="AB38" s="89"/>
      <c r="AC38" s="85">
        <f t="shared" si="36"/>
        <v>0</v>
      </c>
      <c r="AD38" s="90"/>
      <c r="AE38" s="90"/>
      <c r="AF38" s="1394"/>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1"/>
      <c r="C39" s="1392"/>
      <c r="D39" s="78"/>
      <c r="E39" s="85">
        <f t="shared" si="33"/>
        <v>0</v>
      </c>
      <c r="F39" s="86"/>
      <c r="G39" s="87">
        <f t="shared" si="34"/>
        <v>0</v>
      </c>
      <c r="H39" s="88">
        <f t="shared" si="35"/>
        <v>0</v>
      </c>
      <c r="I39" s="1394"/>
      <c r="J39" s="89"/>
      <c r="K39" s="1394"/>
      <c r="L39" s="89"/>
      <c r="M39" s="89"/>
      <c r="N39" s="89"/>
      <c r="O39" s="89"/>
      <c r="P39" s="89"/>
      <c r="Q39" s="89"/>
      <c r="R39" s="89"/>
      <c r="S39" s="89"/>
      <c r="T39" s="89"/>
      <c r="U39" s="89"/>
      <c r="V39" s="89"/>
      <c r="W39" s="89"/>
      <c r="X39" s="89"/>
      <c r="Y39" s="89"/>
      <c r="Z39" s="89"/>
      <c r="AA39" s="89"/>
      <c r="AB39" s="89"/>
      <c r="AC39" s="85">
        <f t="shared" si="36"/>
        <v>0</v>
      </c>
      <c r="AD39" s="90"/>
      <c r="AE39" s="90"/>
      <c r="AF39" s="1394"/>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1"/>
      <c r="C40" s="1392"/>
      <c r="D40" s="78"/>
      <c r="E40" s="85">
        <f t="shared" si="33"/>
        <v>0</v>
      </c>
      <c r="F40" s="86"/>
      <c r="G40" s="87">
        <f t="shared" si="34"/>
        <v>0</v>
      </c>
      <c r="H40" s="88">
        <f t="shared" si="35"/>
        <v>0</v>
      </c>
      <c r="I40" s="1394"/>
      <c r="J40" s="89"/>
      <c r="K40" s="1394"/>
      <c r="L40" s="89"/>
      <c r="M40" s="89"/>
      <c r="N40" s="89"/>
      <c r="O40" s="89"/>
      <c r="P40" s="89"/>
      <c r="Q40" s="89"/>
      <c r="R40" s="89"/>
      <c r="S40" s="89"/>
      <c r="T40" s="89"/>
      <c r="U40" s="89"/>
      <c r="V40" s="89"/>
      <c r="W40" s="89"/>
      <c r="X40" s="89"/>
      <c r="Y40" s="89"/>
      <c r="Z40" s="89"/>
      <c r="AA40" s="89"/>
      <c r="AB40" s="89"/>
      <c r="AC40" s="85">
        <f t="shared" si="36"/>
        <v>0</v>
      </c>
      <c r="AD40" s="90"/>
      <c r="AE40" s="90"/>
      <c r="AF40" s="1394"/>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1"/>
      <c r="C41" s="1392"/>
      <c r="D41" s="78"/>
      <c r="E41" s="85">
        <f t="shared" si="33"/>
        <v>0</v>
      </c>
      <c r="F41" s="86"/>
      <c r="G41" s="87">
        <f t="shared" si="34"/>
        <v>0</v>
      </c>
      <c r="H41" s="88">
        <f t="shared" si="35"/>
        <v>0</v>
      </c>
      <c r="I41" s="1394"/>
      <c r="J41" s="89"/>
      <c r="K41" s="1394"/>
      <c r="L41" s="89"/>
      <c r="M41" s="89"/>
      <c r="N41" s="89"/>
      <c r="O41" s="89"/>
      <c r="P41" s="89"/>
      <c r="Q41" s="89"/>
      <c r="R41" s="89"/>
      <c r="S41" s="89"/>
      <c r="T41" s="89"/>
      <c r="U41" s="89"/>
      <c r="V41" s="89"/>
      <c r="W41" s="89"/>
      <c r="X41" s="89"/>
      <c r="Y41" s="89"/>
      <c r="Z41" s="89"/>
      <c r="AA41" s="89"/>
      <c r="AB41" s="89"/>
      <c r="AC41" s="85">
        <f t="shared" si="36"/>
        <v>0</v>
      </c>
      <c r="AD41" s="90"/>
      <c r="AE41" s="90"/>
      <c r="AF41" s="1394"/>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1"/>
      <c r="C42" s="1392"/>
      <c r="D42" s="78"/>
      <c r="E42" s="85">
        <f t="shared" si="33"/>
        <v>0</v>
      </c>
      <c r="F42" s="86"/>
      <c r="G42" s="87">
        <f t="shared" si="34"/>
        <v>0</v>
      </c>
      <c r="H42" s="88">
        <f t="shared" si="35"/>
        <v>0</v>
      </c>
      <c r="I42" s="1394"/>
      <c r="J42" s="89"/>
      <c r="K42" s="1394"/>
      <c r="L42" s="89"/>
      <c r="M42" s="89"/>
      <c r="N42" s="89"/>
      <c r="O42" s="89"/>
      <c r="P42" s="89"/>
      <c r="Q42" s="89"/>
      <c r="R42" s="89"/>
      <c r="S42" s="89"/>
      <c r="T42" s="89"/>
      <c r="U42" s="89"/>
      <c r="V42" s="89"/>
      <c r="W42" s="89"/>
      <c r="X42" s="89"/>
      <c r="Y42" s="89"/>
      <c r="Z42" s="89"/>
      <c r="AA42" s="89"/>
      <c r="AB42" s="89"/>
      <c r="AC42" s="85">
        <f t="shared" si="36"/>
        <v>0</v>
      </c>
      <c r="AD42" s="90"/>
      <c r="AE42" s="90"/>
      <c r="AF42" s="1394"/>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1"/>
      <c r="C43" s="1392"/>
      <c r="D43" s="78"/>
      <c r="E43" s="85">
        <f t="shared" si="33"/>
        <v>0</v>
      </c>
      <c r="F43" s="86"/>
      <c r="G43" s="87">
        <f t="shared" si="34"/>
        <v>0</v>
      </c>
      <c r="H43" s="88">
        <f t="shared" si="35"/>
        <v>0</v>
      </c>
      <c r="I43" s="1394"/>
      <c r="J43" s="89"/>
      <c r="K43" s="1394"/>
      <c r="L43" s="89"/>
      <c r="M43" s="89"/>
      <c r="N43" s="89"/>
      <c r="O43" s="89"/>
      <c r="P43" s="89"/>
      <c r="Q43" s="89"/>
      <c r="R43" s="89"/>
      <c r="S43" s="89"/>
      <c r="T43" s="89"/>
      <c r="U43" s="89"/>
      <c r="V43" s="89"/>
      <c r="W43" s="89"/>
      <c r="X43" s="89"/>
      <c r="Y43" s="89"/>
      <c r="Z43" s="89"/>
      <c r="AA43" s="89"/>
      <c r="AB43" s="89"/>
      <c r="AC43" s="85">
        <f t="shared" si="36"/>
        <v>0</v>
      </c>
      <c r="AD43" s="90"/>
      <c r="AE43" s="90"/>
      <c r="AF43" s="1394"/>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1"/>
      <c r="C44" s="1392"/>
      <c r="D44" s="78"/>
      <c r="E44" s="85">
        <f t="shared" si="33"/>
        <v>0</v>
      </c>
      <c r="F44" s="86"/>
      <c r="G44" s="87">
        <f t="shared" si="34"/>
        <v>0</v>
      </c>
      <c r="H44" s="88">
        <f t="shared" si="35"/>
        <v>0</v>
      </c>
      <c r="I44" s="1394"/>
      <c r="J44" s="89"/>
      <c r="K44" s="1394"/>
      <c r="L44" s="89"/>
      <c r="M44" s="89"/>
      <c r="N44" s="89"/>
      <c r="O44" s="89"/>
      <c r="P44" s="89"/>
      <c r="Q44" s="89"/>
      <c r="R44" s="89"/>
      <c r="S44" s="89"/>
      <c r="T44" s="89"/>
      <c r="U44" s="89"/>
      <c r="V44" s="89"/>
      <c r="W44" s="89"/>
      <c r="X44" s="89"/>
      <c r="Y44" s="89"/>
      <c r="Z44" s="89"/>
      <c r="AA44" s="89"/>
      <c r="AB44" s="89"/>
      <c r="AC44" s="85">
        <f t="shared" si="36"/>
        <v>0</v>
      </c>
      <c r="AD44" s="90"/>
      <c r="AE44" s="90"/>
      <c r="AF44" s="1394"/>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1"/>
      <c r="C45" s="1392"/>
      <c r="D45" s="78"/>
      <c r="E45" s="85">
        <f t="shared" si="33"/>
        <v>0</v>
      </c>
      <c r="F45" s="86"/>
      <c r="G45" s="87">
        <f t="shared" si="34"/>
        <v>0</v>
      </c>
      <c r="H45" s="88">
        <f t="shared" si="35"/>
        <v>0</v>
      </c>
      <c r="I45" s="1394"/>
      <c r="J45" s="89"/>
      <c r="K45" s="1394"/>
      <c r="L45" s="89"/>
      <c r="M45" s="89"/>
      <c r="N45" s="89"/>
      <c r="O45" s="89"/>
      <c r="P45" s="89"/>
      <c r="Q45" s="89"/>
      <c r="R45" s="89"/>
      <c r="S45" s="89"/>
      <c r="T45" s="89"/>
      <c r="U45" s="89"/>
      <c r="V45" s="89"/>
      <c r="W45" s="89"/>
      <c r="X45" s="89"/>
      <c r="Y45" s="89"/>
      <c r="Z45" s="89"/>
      <c r="AA45" s="89"/>
      <c r="AB45" s="89"/>
      <c r="AC45" s="85">
        <f t="shared" si="36"/>
        <v>0</v>
      </c>
      <c r="AD45" s="90"/>
      <c r="AE45" s="90"/>
      <c r="AF45" s="1394"/>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1"/>
      <c r="C46" s="1392"/>
      <c r="D46" s="78"/>
      <c r="E46" s="85">
        <f t="shared" si="33"/>
        <v>0</v>
      </c>
      <c r="F46" s="86"/>
      <c r="G46" s="87">
        <f t="shared" si="34"/>
        <v>0</v>
      </c>
      <c r="H46" s="88">
        <f t="shared" si="35"/>
        <v>0</v>
      </c>
      <c r="I46" s="1394"/>
      <c r="J46" s="89"/>
      <c r="K46" s="1394"/>
      <c r="L46" s="89"/>
      <c r="M46" s="89"/>
      <c r="N46" s="89"/>
      <c r="O46" s="89"/>
      <c r="P46" s="89"/>
      <c r="Q46" s="89"/>
      <c r="R46" s="89"/>
      <c r="S46" s="89"/>
      <c r="T46" s="89"/>
      <c r="U46" s="89"/>
      <c r="V46" s="89"/>
      <c r="W46" s="89"/>
      <c r="X46" s="89"/>
      <c r="Y46" s="89"/>
      <c r="Z46" s="89"/>
      <c r="AA46" s="89"/>
      <c r="AB46" s="89"/>
      <c r="AC46" s="85">
        <f t="shared" si="36"/>
        <v>0</v>
      </c>
      <c r="AD46" s="90"/>
      <c r="AE46" s="90"/>
      <c r="AF46" s="1394"/>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1"/>
      <c r="C47" s="1392"/>
      <c r="D47" s="78"/>
      <c r="E47" s="85">
        <f t="shared" si="33"/>
        <v>0</v>
      </c>
      <c r="F47" s="86"/>
      <c r="G47" s="87">
        <f t="shared" si="34"/>
        <v>0</v>
      </c>
      <c r="H47" s="88">
        <f t="shared" si="35"/>
        <v>0</v>
      </c>
      <c r="I47" s="1394"/>
      <c r="J47" s="89"/>
      <c r="K47" s="1394"/>
      <c r="L47" s="89"/>
      <c r="M47" s="89"/>
      <c r="N47" s="89"/>
      <c r="O47" s="89"/>
      <c r="P47" s="89"/>
      <c r="Q47" s="89"/>
      <c r="R47" s="89"/>
      <c r="S47" s="89"/>
      <c r="T47" s="89"/>
      <c r="U47" s="89"/>
      <c r="V47" s="89"/>
      <c r="W47" s="89"/>
      <c r="X47" s="89"/>
      <c r="Y47" s="89"/>
      <c r="Z47" s="89"/>
      <c r="AA47" s="89"/>
      <c r="AB47" s="89"/>
      <c r="AC47" s="85">
        <f t="shared" si="36"/>
        <v>0</v>
      </c>
      <c r="AD47" s="90"/>
      <c r="AE47" s="90"/>
      <c r="AF47" s="1392"/>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1"/>
      <c r="C48" s="1392"/>
      <c r="D48" s="78"/>
      <c r="E48" s="85">
        <f t="shared" si="33"/>
        <v>0</v>
      </c>
      <c r="F48" s="86"/>
      <c r="G48" s="87">
        <f t="shared" si="34"/>
        <v>0</v>
      </c>
      <c r="H48" s="88">
        <f t="shared" si="35"/>
        <v>0</v>
      </c>
      <c r="I48" s="1392"/>
      <c r="J48" s="89"/>
      <c r="K48" s="1392"/>
      <c r="L48" s="89"/>
      <c r="M48" s="89"/>
      <c r="N48" s="89"/>
      <c r="O48" s="89"/>
      <c r="P48" s="89"/>
      <c r="Q48" s="89"/>
      <c r="R48" s="89"/>
      <c r="S48" s="89"/>
      <c r="T48" s="89"/>
      <c r="U48" s="89"/>
      <c r="V48" s="89"/>
      <c r="W48" s="89"/>
      <c r="X48" s="89"/>
      <c r="Y48" s="89"/>
      <c r="Z48" s="89"/>
      <c r="AA48" s="89"/>
      <c r="AB48" s="89"/>
      <c r="AC48" s="85">
        <f t="shared" si="36"/>
        <v>0</v>
      </c>
      <c r="AD48" s="90"/>
      <c r="AE48" s="90"/>
      <c r="AF48" s="1392"/>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1"/>
      <c r="C49" s="1392"/>
      <c r="D49" s="78"/>
      <c r="E49" s="85">
        <f t="shared" si="33"/>
        <v>0</v>
      </c>
      <c r="F49" s="86"/>
      <c r="G49" s="87">
        <f t="shared" si="34"/>
        <v>0</v>
      </c>
      <c r="H49" s="88">
        <f t="shared" si="35"/>
        <v>0</v>
      </c>
      <c r="I49" s="1392"/>
      <c r="J49" s="89"/>
      <c r="K49" s="1392"/>
      <c r="L49" s="89"/>
      <c r="M49" s="89"/>
      <c r="N49" s="89"/>
      <c r="O49" s="89"/>
      <c r="P49" s="89"/>
      <c r="Q49" s="89"/>
      <c r="R49" s="89"/>
      <c r="S49" s="89"/>
      <c r="T49" s="89"/>
      <c r="U49" s="89"/>
      <c r="V49" s="89"/>
      <c r="W49" s="89"/>
      <c r="X49" s="89"/>
      <c r="Y49" s="89"/>
      <c r="Z49" s="89"/>
      <c r="AA49" s="89"/>
      <c r="AB49" s="89"/>
      <c r="AC49" s="85">
        <f t="shared" si="36"/>
        <v>0</v>
      </c>
      <c r="AD49" s="90"/>
      <c r="AE49" s="90"/>
      <c r="AF49" s="1392"/>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1"/>
      <c r="C50" s="1392"/>
      <c r="D50" s="78"/>
      <c r="E50" s="85">
        <f t="shared" si="33"/>
        <v>0</v>
      </c>
      <c r="F50" s="86"/>
      <c r="G50" s="87">
        <f t="shared" si="34"/>
        <v>0</v>
      </c>
      <c r="H50" s="88">
        <f t="shared" si="35"/>
        <v>0</v>
      </c>
      <c r="I50" s="1392"/>
      <c r="J50" s="89"/>
      <c r="K50" s="1392"/>
      <c r="L50" s="89"/>
      <c r="M50" s="89"/>
      <c r="N50" s="89"/>
      <c r="O50" s="89"/>
      <c r="P50" s="89"/>
      <c r="Q50" s="89"/>
      <c r="R50" s="89"/>
      <c r="S50" s="89"/>
      <c r="T50" s="89"/>
      <c r="U50" s="89"/>
      <c r="V50" s="89"/>
      <c r="W50" s="89"/>
      <c r="X50" s="89"/>
      <c r="Y50" s="89"/>
      <c r="Z50" s="89"/>
      <c r="AA50" s="89"/>
      <c r="AB50" s="89"/>
      <c r="AC50" s="85">
        <f t="shared" si="36"/>
        <v>0</v>
      </c>
      <c r="AD50" s="90"/>
      <c r="AE50" s="90"/>
      <c r="AF50" s="1392"/>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1"/>
      <c r="C51" s="1392"/>
      <c r="D51" s="78"/>
      <c r="E51" s="85">
        <f t="shared" si="33"/>
        <v>0</v>
      </c>
      <c r="F51" s="86"/>
      <c r="G51" s="87">
        <f t="shared" si="34"/>
        <v>0</v>
      </c>
      <c r="H51" s="88">
        <f t="shared" si="35"/>
        <v>0</v>
      </c>
      <c r="I51" s="1392"/>
      <c r="J51" s="89"/>
      <c r="K51" s="1392"/>
      <c r="L51" s="89"/>
      <c r="M51" s="89"/>
      <c r="N51" s="89"/>
      <c r="O51" s="89"/>
      <c r="P51" s="89"/>
      <c r="Q51" s="89"/>
      <c r="R51" s="89"/>
      <c r="S51" s="89"/>
      <c r="T51" s="89"/>
      <c r="U51" s="89"/>
      <c r="V51" s="89"/>
      <c r="W51" s="89"/>
      <c r="X51" s="89"/>
      <c r="Y51" s="89"/>
      <c r="Z51" s="89"/>
      <c r="AA51" s="89"/>
      <c r="AB51" s="89"/>
      <c r="AC51" s="85">
        <f t="shared" si="36"/>
        <v>0</v>
      </c>
      <c r="AD51" s="90"/>
      <c r="AE51" s="90"/>
      <c r="AF51" s="1392"/>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1"/>
      <c r="C52" s="1392"/>
      <c r="D52" s="78"/>
      <c r="E52" s="85">
        <f t="shared" si="33"/>
        <v>0</v>
      </c>
      <c r="F52" s="86"/>
      <c r="G52" s="87">
        <f t="shared" si="34"/>
        <v>0</v>
      </c>
      <c r="H52" s="88">
        <f t="shared" si="35"/>
        <v>0</v>
      </c>
      <c r="I52" s="1392"/>
      <c r="J52" s="89"/>
      <c r="K52" s="1392"/>
      <c r="L52" s="89"/>
      <c r="M52" s="89"/>
      <c r="N52" s="89"/>
      <c r="O52" s="89"/>
      <c r="P52" s="89"/>
      <c r="Q52" s="89"/>
      <c r="R52" s="89"/>
      <c r="S52" s="89"/>
      <c r="T52" s="89"/>
      <c r="U52" s="89"/>
      <c r="V52" s="89"/>
      <c r="W52" s="89"/>
      <c r="X52" s="89"/>
      <c r="Y52" s="89"/>
      <c r="Z52" s="89"/>
      <c r="AA52" s="89"/>
      <c r="AB52" s="89"/>
      <c r="AC52" s="85">
        <f t="shared" si="36"/>
        <v>0</v>
      </c>
      <c r="AD52" s="90"/>
      <c r="AE52" s="90"/>
      <c r="AF52" s="1392"/>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1"/>
      <c r="C53" s="1392"/>
      <c r="D53" s="78"/>
      <c r="E53" s="85">
        <f t="shared" si="33"/>
        <v>0</v>
      </c>
      <c r="F53" s="86"/>
      <c r="G53" s="87">
        <f t="shared" si="34"/>
        <v>0</v>
      </c>
      <c r="H53" s="88">
        <f t="shared" si="35"/>
        <v>0</v>
      </c>
      <c r="I53" s="1392"/>
      <c r="J53" s="89"/>
      <c r="K53" s="1392"/>
      <c r="L53" s="89"/>
      <c r="M53" s="89"/>
      <c r="N53" s="89"/>
      <c r="O53" s="89"/>
      <c r="P53" s="89"/>
      <c r="Q53" s="89"/>
      <c r="R53" s="89"/>
      <c r="S53" s="89"/>
      <c r="T53" s="89"/>
      <c r="U53" s="89"/>
      <c r="V53" s="89"/>
      <c r="W53" s="89"/>
      <c r="X53" s="89"/>
      <c r="Y53" s="89"/>
      <c r="Z53" s="89"/>
      <c r="AA53" s="89"/>
      <c r="AB53" s="89"/>
      <c r="AC53" s="85">
        <f t="shared" si="36"/>
        <v>0</v>
      </c>
      <c r="AD53" s="90"/>
      <c r="AE53" s="90"/>
      <c r="AF53" s="1392"/>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1"/>
      <c r="C54" s="1392"/>
      <c r="D54" s="78"/>
      <c r="E54" s="85">
        <f t="shared" si="33"/>
        <v>0</v>
      </c>
      <c r="F54" s="86"/>
      <c r="G54" s="87">
        <f t="shared" si="34"/>
        <v>0</v>
      </c>
      <c r="H54" s="88">
        <f t="shared" si="35"/>
        <v>0</v>
      </c>
      <c r="I54" s="1392"/>
      <c r="J54" s="89"/>
      <c r="K54" s="1392"/>
      <c r="L54" s="89"/>
      <c r="M54" s="89"/>
      <c r="N54" s="89"/>
      <c r="O54" s="89"/>
      <c r="P54" s="89"/>
      <c r="Q54" s="89"/>
      <c r="R54" s="89"/>
      <c r="S54" s="89"/>
      <c r="T54" s="89"/>
      <c r="U54" s="89"/>
      <c r="V54" s="89"/>
      <c r="W54" s="89"/>
      <c r="X54" s="89"/>
      <c r="Y54" s="89"/>
      <c r="Z54" s="89"/>
      <c r="AA54" s="89"/>
      <c r="AB54" s="89"/>
      <c r="AC54" s="85">
        <f t="shared" si="36"/>
        <v>0</v>
      </c>
      <c r="AD54" s="90"/>
      <c r="AE54" s="90"/>
      <c r="AF54" s="1392"/>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3"/>
      <c r="C55" s="1394"/>
      <c r="D55" s="78"/>
      <c r="E55" s="85">
        <f t="shared" si="33"/>
        <v>0</v>
      </c>
      <c r="F55" s="86"/>
      <c r="G55" s="87">
        <f t="shared" si="34"/>
        <v>0</v>
      </c>
      <c r="H55" s="88">
        <f t="shared" si="35"/>
        <v>0</v>
      </c>
      <c r="I55" s="1392"/>
      <c r="J55" s="89"/>
      <c r="K55" s="1392"/>
      <c r="L55" s="89"/>
      <c r="M55" s="1392"/>
      <c r="N55" s="89"/>
      <c r="O55" s="89"/>
      <c r="P55" s="89"/>
      <c r="Q55" s="89"/>
      <c r="R55" s="89"/>
      <c r="S55" s="89"/>
      <c r="T55" s="89"/>
      <c r="U55" s="89"/>
      <c r="V55" s="89"/>
      <c r="W55" s="89"/>
      <c r="X55" s="89"/>
      <c r="Y55" s="89"/>
      <c r="Z55" s="89"/>
      <c r="AA55" s="89"/>
      <c r="AB55" s="89"/>
      <c r="AC55" s="85">
        <f t="shared" si="36"/>
        <v>0</v>
      </c>
      <c r="AD55" s="90"/>
      <c r="AE55" s="90"/>
      <c r="AF55" s="1392"/>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1"/>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1"/>
      <c r="N114" s="89"/>
      <c r="O114" s="89"/>
      <c r="P114" s="89"/>
      <c r="Q114" s="89"/>
      <c r="R114" s="89"/>
      <c r="S114" s="89"/>
      <c r="T114" s="89"/>
      <c r="U114" s="89"/>
      <c r="V114" s="89"/>
      <c r="W114" s="89"/>
      <c r="X114" s="89"/>
      <c r="Y114" s="89"/>
      <c r="Z114" s="89"/>
      <c r="AA114" s="89"/>
      <c r="AB114" s="89"/>
      <c r="AC114" s="85">
        <f t="shared" si="64"/>
        <v>0</v>
      </c>
      <c r="AD114" s="1361"/>
      <c r="AE114" s="90"/>
      <c r="AF114" s="1395"/>
      <c r="AG114" s="90"/>
      <c r="AH114" s="90"/>
      <c r="AI114" s="90"/>
      <c r="AJ114" s="90"/>
      <c r="AK114" s="90"/>
      <c r="AL114" s="1361"/>
      <c r="AM114" s="90"/>
      <c r="AN114" s="1361"/>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1"/>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1"/>
      <c r="AM115" s="90"/>
      <c r="AN115" s="1361"/>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1"/>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1"/>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1"/>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1"/>
      <c r="N206" s="89"/>
      <c r="O206" s="89"/>
      <c r="P206" s="89"/>
      <c r="Q206" s="89"/>
      <c r="R206" s="89"/>
      <c r="S206" s="89"/>
      <c r="T206" s="89"/>
      <c r="U206" s="89"/>
      <c r="V206" s="89"/>
      <c r="W206" s="89"/>
      <c r="X206" s="89"/>
      <c r="Y206" s="89"/>
      <c r="Z206" s="89"/>
      <c r="AA206" s="89"/>
      <c r="AB206" s="89"/>
      <c r="AC206" s="85">
        <f t="shared" si="152"/>
        <v>0</v>
      </c>
      <c r="AD206" s="1361"/>
      <c r="AE206" s="90"/>
      <c r="AF206" s="1395"/>
      <c r="AG206" s="90"/>
      <c r="AH206" s="90"/>
      <c r="AI206" s="90"/>
      <c r="AJ206" s="90"/>
      <c r="AK206" s="90"/>
      <c r="AL206" s="1361"/>
      <c r="AM206" s="90"/>
      <c r="AN206" s="1361"/>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1"/>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1"/>
      <c r="AM207" s="90"/>
      <c r="AN207" s="1361"/>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1"/>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1"/>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1"/>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1"/>
      <c r="N298" s="89"/>
      <c r="O298" s="89"/>
      <c r="P298" s="89"/>
      <c r="Q298" s="89"/>
      <c r="R298" s="89"/>
      <c r="S298" s="89"/>
      <c r="T298" s="89"/>
      <c r="U298" s="89"/>
      <c r="V298" s="89"/>
      <c r="W298" s="89"/>
      <c r="X298" s="89"/>
      <c r="Y298" s="89"/>
      <c r="Z298" s="89"/>
      <c r="AA298" s="89"/>
      <c r="AB298" s="89"/>
      <c r="AC298" s="85">
        <f t="shared" si="180"/>
        <v>0</v>
      </c>
      <c r="AD298" s="1361"/>
      <c r="AE298" s="90"/>
      <c r="AF298" s="1395"/>
      <c r="AG298" s="90"/>
      <c r="AH298" s="90"/>
      <c r="AI298" s="90"/>
      <c r="AJ298" s="90"/>
      <c r="AK298" s="90"/>
      <c r="AL298" s="1361"/>
      <c r="AM298" s="90"/>
      <c r="AN298" s="1361"/>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1"/>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1"/>
      <c r="AM299" s="90"/>
      <c r="AN299" s="1361"/>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1"/>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1"/>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1"/>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1"/>
      <c r="N390" s="89"/>
      <c r="O390" s="89"/>
      <c r="P390" s="89"/>
      <c r="Q390" s="89"/>
      <c r="R390" s="89"/>
      <c r="S390" s="89"/>
      <c r="T390" s="89"/>
      <c r="U390" s="89"/>
      <c r="V390" s="89"/>
      <c r="W390" s="89"/>
      <c r="X390" s="89"/>
      <c r="Y390" s="89"/>
      <c r="Z390" s="89"/>
      <c r="AA390" s="89"/>
      <c r="AB390" s="89"/>
      <c r="AC390" s="85">
        <f t="shared" si="268"/>
        <v>0</v>
      </c>
      <c r="AD390" s="1361"/>
      <c r="AE390" s="90"/>
      <c r="AF390" s="1395"/>
      <c r="AG390" s="90"/>
      <c r="AH390" s="90"/>
      <c r="AI390" s="90"/>
      <c r="AJ390" s="90"/>
      <c r="AK390" s="90"/>
      <c r="AL390" s="1361"/>
      <c r="AM390" s="90"/>
      <c r="AN390" s="1361"/>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1"/>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1"/>
      <c r="AM391" s="90"/>
      <c r="AN391" s="1361"/>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1"/>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1"/>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1"/>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1"/>
      <c r="N482" s="89"/>
      <c r="O482" s="89"/>
      <c r="P482" s="89"/>
      <c r="Q482" s="89"/>
      <c r="R482" s="89"/>
      <c r="S482" s="89"/>
      <c r="T482" s="89"/>
      <c r="U482" s="89"/>
      <c r="V482" s="89"/>
      <c r="W482" s="89"/>
      <c r="X482" s="89"/>
      <c r="Y482" s="89"/>
      <c r="Z482" s="89"/>
      <c r="AA482" s="89"/>
      <c r="AB482" s="89"/>
      <c r="AC482" s="85">
        <f t="shared" si="296"/>
        <v>0</v>
      </c>
      <c r="AD482" s="1361"/>
      <c r="AE482" s="90"/>
      <c r="AF482" s="1395"/>
      <c r="AG482" s="90"/>
      <c r="AH482" s="90"/>
      <c r="AI482" s="90"/>
      <c r="AJ482" s="90"/>
      <c r="AK482" s="90"/>
      <c r="AL482" s="1361"/>
      <c r="AM482" s="90"/>
      <c r="AN482" s="1361"/>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1"/>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1"/>
      <c r="AM483" s="90"/>
      <c r="AN483" s="1361"/>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1"/>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1"/>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3" t="s">
        <v>0</v>
      </c>
      <c r="B1" s="3403" t="s">
        <v>4</v>
      </c>
      <c r="C1" s="3403" t="s">
        <v>5</v>
      </c>
      <c r="D1" s="3404" t="s">
        <v>40</v>
      </c>
      <c r="E1" s="3404" t="s">
        <v>41</v>
      </c>
      <c r="F1" s="3404"/>
      <c r="G1" s="3404"/>
      <c r="H1" s="3404"/>
      <c r="I1" s="3404"/>
      <c r="J1" s="3404"/>
      <c r="K1" s="3404"/>
      <c r="L1" s="3404"/>
      <c r="M1" s="3404"/>
    </row>
    <row r="2" spans="1:13" ht="27" customHeight="1">
      <c r="A2" s="3403"/>
      <c r="B2" s="3403"/>
      <c r="C2" s="3403"/>
      <c r="D2" s="3404"/>
      <c r="E2" s="3404" t="s">
        <v>24</v>
      </c>
      <c r="F2" s="3404" t="s">
        <v>25</v>
      </c>
      <c r="G2" s="3404"/>
      <c r="H2" s="3404"/>
      <c r="I2" s="3404"/>
      <c r="J2" s="3404" t="s">
        <v>26</v>
      </c>
      <c r="K2" s="3404"/>
      <c r="L2" s="3404"/>
      <c r="M2" s="3404"/>
    </row>
    <row r="3" spans="1:13" ht="28.5">
      <c r="A3" s="3403"/>
      <c r="B3" s="3403"/>
      <c r="C3" s="3403"/>
      <c r="D3" s="3404"/>
      <c r="E3" s="34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4" t="s">
        <v>42</v>
      </c>
      <c r="B9" s="3404"/>
      <c r="C9" s="34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33" sqref="D3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202</v>
      </c>
      <c r="B1" s="1982"/>
      <c r="C1" s="1982"/>
      <c r="D1" s="1982"/>
      <c r="E1" s="1982"/>
      <c r="F1" s="1982"/>
      <c r="G1" s="1982"/>
      <c r="H1" s="1982"/>
      <c r="I1" s="1982"/>
      <c r="J1" s="1982"/>
      <c r="K1" s="1982"/>
      <c r="L1" s="1982"/>
    </row>
    <row r="2" spans="1:16" ht="15">
      <c r="A2" s="3414" t="s">
        <v>203</v>
      </c>
      <c r="B2" s="3414"/>
      <c r="C2" s="3414"/>
      <c r="D2" s="1973" t="s">
        <v>204</v>
      </c>
      <c r="E2" s="104" t="s">
        <v>205</v>
      </c>
      <c r="F2" s="1982"/>
      <c r="G2" s="1195"/>
      <c r="H2" s="1196"/>
      <c r="I2" s="1197" t="s">
        <v>857</v>
      </c>
      <c r="J2" s="1982"/>
      <c r="K2" s="1982"/>
      <c r="L2" s="1982"/>
    </row>
    <row r="3" spans="1:16" ht="15.75" thickBot="1">
      <c r="A3" s="3415" t="s">
        <v>206</v>
      </c>
      <c r="B3" s="3415"/>
      <c r="C3" s="3415"/>
      <c r="D3" s="105">
        <f>'数据-基础表'!AY6</f>
        <v>2079.0700000000002</v>
      </c>
      <c r="E3" s="105">
        <f>'数据-基础表'!AZ5</f>
        <v>10000</v>
      </c>
      <c r="F3" s="1982"/>
      <c r="G3" s="278" t="s">
        <v>858</v>
      </c>
      <c r="H3" s="273" t="s">
        <v>859</v>
      </c>
      <c r="I3" s="1974">
        <f>ROUND('数据-基础表'!B3/'数据-基础表'!A3,2)</f>
        <v>4.8099999999999996</v>
      </c>
      <c r="J3" s="1982"/>
      <c r="K3" s="1982"/>
      <c r="L3" s="1982"/>
    </row>
    <row r="4" spans="1:16" ht="15">
      <c r="A4" s="3416"/>
      <c r="B4" s="3417"/>
      <c r="C4" s="3418"/>
      <c r="D4" s="106" t="s">
        <v>204</v>
      </c>
      <c r="E4" s="107" t="s">
        <v>205</v>
      </c>
      <c r="F4" s="1982"/>
      <c r="G4" s="1198"/>
      <c r="H4" s="273" t="s">
        <v>860</v>
      </c>
      <c r="I4" s="1974">
        <f>ROUND(SUMIF('数据-基础表'!I9:AS9,"地上",'数据-基础表'!I5:AS5)/'数据-基础表'!A3,2)</f>
        <v>4.8099999999999996</v>
      </c>
      <c r="J4" s="1982"/>
      <c r="K4" s="1982"/>
      <c r="L4" s="1982"/>
    </row>
    <row r="5" spans="1:16">
      <c r="A5" s="108" t="s">
        <v>207</v>
      </c>
      <c r="B5" s="3419" t="s">
        <v>230</v>
      </c>
      <c r="C5" s="3419"/>
      <c r="D5" s="109">
        <f>ROUND($D$3*E5/$E$3,2)</f>
        <v>0</v>
      </c>
      <c r="E5" s="110">
        <f>SUMIF('数据-基础表'!$11:$11,"住宅",'数据-基础表'!$5:$5)</f>
        <v>0</v>
      </c>
      <c r="F5" s="1982"/>
      <c r="G5" s="278" t="s">
        <v>861</v>
      </c>
      <c r="H5" s="273" t="s">
        <v>859</v>
      </c>
      <c r="I5" s="1974">
        <f>ROUND(E31/D31,2)</f>
        <v>4.8099999999999996</v>
      </c>
      <c r="J5" s="1982"/>
      <c r="K5" s="1982"/>
      <c r="L5" s="1982"/>
    </row>
    <row r="6" spans="1:16" ht="15" thickBot="1">
      <c r="A6" s="111"/>
      <c r="B6" s="3419" t="s">
        <v>208</v>
      </c>
      <c r="C6" s="3419"/>
      <c r="D6" s="109">
        <f>ROUND($D$3*E6/$E$3,2)</f>
        <v>2079.0700000000002</v>
      </c>
      <c r="E6" s="110">
        <f>E3-E5</f>
        <v>10000</v>
      </c>
      <c r="F6" s="1982"/>
      <c r="G6" s="1198"/>
      <c r="H6" s="273" t="s">
        <v>860</v>
      </c>
      <c r="I6" s="1974">
        <f>ROUND(F31/D31,2)</f>
        <v>4.8099999999999996</v>
      </c>
      <c r="J6" s="1982"/>
      <c r="K6" s="1982"/>
      <c r="L6" s="1982"/>
    </row>
    <row r="7" spans="1:16" ht="15">
      <c r="A7" s="3411"/>
      <c r="B7" s="3412"/>
      <c r="C7" s="3413"/>
      <c r="D7" s="106" t="s">
        <v>204</v>
      </c>
      <c r="E7" s="112" t="s">
        <v>231</v>
      </c>
      <c r="F7" s="1982"/>
      <c r="G7" s="1153" t="s">
        <v>1646</v>
      </c>
      <c r="H7" s="1154"/>
      <c r="I7" s="1844">
        <v>3.5</v>
      </c>
      <c r="J7" s="1982"/>
      <c r="K7" s="1982"/>
      <c r="L7" s="1982"/>
    </row>
    <row r="8" spans="1:16">
      <c r="A8" s="108" t="s">
        <v>209</v>
      </c>
      <c r="B8" s="113" t="s">
        <v>210</v>
      </c>
      <c r="C8" s="109" t="s">
        <v>211</v>
      </c>
      <c r="D8" s="109">
        <f t="shared" ref="D8:D15" si="0">ROUND($D$3*E8/$E$3,2)</f>
        <v>2079.0700000000002</v>
      </c>
      <c r="E8" s="114">
        <f>SUMIF('数据-基础表'!BB10:BK10,"地上",'数据-基础表'!BB5:BK5)</f>
        <v>10000</v>
      </c>
      <c r="F8" s="1982"/>
      <c r="G8" s="1984"/>
      <c r="H8" s="1984"/>
      <c r="I8" s="1982"/>
      <c r="J8" s="1982"/>
      <c r="K8" s="1982"/>
      <c r="L8" s="1982"/>
    </row>
    <row r="9" spans="1:16">
      <c r="A9" s="115"/>
      <c r="B9" s="116"/>
      <c r="C9" s="109" t="s">
        <v>212</v>
      </c>
      <c r="D9" s="109">
        <f t="shared" si="0"/>
        <v>0</v>
      </c>
      <c r="E9" s="117">
        <v>0</v>
      </c>
      <c r="F9" s="1982"/>
      <c r="G9" s="1984"/>
      <c r="H9" s="1984"/>
      <c r="I9" s="1982"/>
      <c r="J9" s="1982"/>
      <c r="K9" s="1982"/>
      <c r="L9" s="1982"/>
    </row>
    <row r="10" spans="1:16">
      <c r="A10" s="115"/>
      <c r="B10" s="116"/>
      <c r="C10" s="109" t="s">
        <v>213</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2330</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214</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2337</v>
      </c>
      <c r="D13" s="109">
        <f t="shared" si="0"/>
        <v>0</v>
      </c>
      <c r="E13" s="114">
        <f>SUMPRODUCT(('数据-基础表'!BB10:BK10="地下")*('数据-基础表'!BB11:BK11="车库")*('数据-基础表'!BB5:BK5))</f>
        <v>0</v>
      </c>
      <c r="F13" s="1982"/>
      <c r="G13" s="1984"/>
      <c r="H13" s="1984"/>
      <c r="I13" s="1982"/>
      <c r="J13" s="1982"/>
      <c r="K13" s="1982"/>
      <c r="L13" s="1982"/>
    </row>
    <row r="14" spans="1:16">
      <c r="A14" s="115"/>
      <c r="B14" s="116"/>
      <c r="C14" s="109" t="s">
        <v>232</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233</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215</v>
      </c>
      <c r="D16" s="113">
        <f>SUM(D8:D15)</f>
        <v>2079.0700000000002</v>
      </c>
      <c r="E16" s="118">
        <f>SUM(E8:E15)</f>
        <v>10000</v>
      </c>
      <c r="F16" s="1982"/>
      <c r="G16" s="1984"/>
      <c r="H16" s="966" t="s">
        <v>219</v>
      </c>
      <c r="I16" s="967"/>
      <c r="J16" s="1982"/>
      <c r="K16" s="3405" t="s">
        <v>2570</v>
      </c>
      <c r="L16" s="3406"/>
      <c r="M16" s="3406"/>
      <c r="N16" s="3406"/>
      <c r="O16" s="3406"/>
      <c r="P16" s="3407"/>
    </row>
    <row r="17" spans="1:19" ht="15">
      <c r="A17" s="119" t="s">
        <v>216</v>
      </c>
      <c r="B17" s="120" t="s">
        <v>217</v>
      </c>
      <c r="C17" s="2296" t="s">
        <v>2316</v>
      </c>
      <c r="D17" s="106" t="s">
        <v>204</v>
      </c>
      <c r="E17" s="122" t="s">
        <v>205</v>
      </c>
      <c r="F17" s="123"/>
      <c r="G17" s="1363"/>
      <c r="H17" s="968" t="s">
        <v>218</v>
      </c>
      <c r="I17" s="969" t="s">
        <v>2315</v>
      </c>
      <c r="J17" s="1982"/>
      <c r="K17" s="3408" t="s">
        <v>2571</v>
      </c>
      <c r="L17" s="3409"/>
      <c r="M17" s="3410"/>
      <c r="N17" s="3408" t="s">
        <v>2572</v>
      </c>
      <c r="O17" s="3409"/>
      <c r="P17" s="3410"/>
      <c r="R17" s="2297" t="s">
        <v>2314</v>
      </c>
      <c r="S17" s="142"/>
    </row>
    <row r="18" spans="1:19" ht="15">
      <c r="A18" s="115"/>
      <c r="B18" s="126"/>
      <c r="C18" s="127"/>
      <c r="D18" s="2662"/>
      <c r="E18" s="128" t="s">
        <v>220</v>
      </c>
      <c r="F18" s="129" t="s">
        <v>221</v>
      </c>
      <c r="G18" s="1364" t="s">
        <v>222</v>
      </c>
      <c r="H18" s="970" t="s">
        <v>223</v>
      </c>
      <c r="I18" s="971" t="s">
        <v>224</v>
      </c>
      <c r="J18" s="1982"/>
      <c r="K18" s="2625" t="s">
        <v>2573</v>
      </c>
      <c r="L18" s="2626" t="s">
        <v>2574</v>
      </c>
      <c r="M18" s="2627" t="s">
        <v>2575</v>
      </c>
      <c r="N18" s="2625" t="s">
        <v>2573</v>
      </c>
      <c r="O18" s="2626" t="s">
        <v>2574</v>
      </c>
      <c r="P18" s="2627" t="s">
        <v>2575</v>
      </c>
      <c r="R18" s="2298" t="s">
        <v>2312</v>
      </c>
      <c r="S18" s="2298" t="s">
        <v>2313</v>
      </c>
    </row>
    <row r="19" spans="1:19">
      <c r="A19" s="131"/>
      <c r="B19" s="113" t="s">
        <v>225</v>
      </c>
      <c r="C19" s="3043" t="s">
        <v>2988</v>
      </c>
      <c r="D19" s="109">
        <f t="shared" ref="D19:D26" si="1">ROUND($D$3*E19/$E$3,2)</f>
        <v>2079.0700000000002</v>
      </c>
      <c r="E19" s="132">
        <f t="shared" ref="E19:E26" si="2">SUM(F19:G19)</f>
        <v>10000</v>
      </c>
      <c r="F19" s="133">
        <f>'数据-基础表'!B3</f>
        <v>10000</v>
      </c>
      <c r="G19" s="1365"/>
      <c r="H19" s="972">
        <f>ROUND($D$3*I19/$E$3,2)</f>
        <v>0</v>
      </c>
      <c r="I19" s="114">
        <f>IF($I$17="自定义",P19,M19)</f>
        <v>0</v>
      </c>
      <c r="J19" s="1982"/>
      <c r="K19" s="2628">
        <f t="shared" ref="K19:K26" si="3">ROUND(E$28*E19/E$27,2)</f>
        <v>0</v>
      </c>
      <c r="L19" s="273">
        <f t="shared" ref="L19:L26" si="4">ROUND(IF(COUNTIF(C19,"*住宅*")&gt;0,E$29*E19/E$32,0),2)</f>
        <v>0</v>
      </c>
      <c r="M19" s="2629">
        <f>K19+L19</f>
        <v>0</v>
      </c>
      <c r="N19" s="2630"/>
      <c r="O19" s="2631"/>
      <c r="P19" s="2632">
        <f>N19+O19</f>
        <v>0</v>
      </c>
      <c r="R19" s="273">
        <f t="shared" ref="R19:S26" si="5">D19+H19</f>
        <v>2079.0700000000002</v>
      </c>
      <c r="S19" s="2299">
        <f t="shared" si="5"/>
        <v>10000</v>
      </c>
    </row>
    <row r="20" spans="1:19">
      <c r="A20" s="136"/>
      <c r="B20" s="113" t="s">
        <v>226</v>
      </c>
      <c r="C20" s="3043"/>
      <c r="D20" s="109">
        <f t="shared" si="1"/>
        <v>0</v>
      </c>
      <c r="E20" s="132">
        <f t="shared" si="2"/>
        <v>0</v>
      </c>
      <c r="F20" s="133"/>
      <c r="G20" s="1365"/>
      <c r="H20" s="972">
        <f t="shared" ref="H20:H26" si="6">ROUND($D$3*I20/$E$3,2)</f>
        <v>0</v>
      </c>
      <c r="I20" s="114">
        <f t="shared" ref="I20:I26" si="7">IF($I$17="自定义",P20,M20)</f>
        <v>0</v>
      </c>
      <c r="J20" s="1982"/>
      <c r="K20" s="2628">
        <f t="shared" si="3"/>
        <v>0</v>
      </c>
      <c r="L20" s="273">
        <f t="shared" si="4"/>
        <v>0</v>
      </c>
      <c r="M20" s="2629">
        <f t="shared" ref="M20:M26" si="8">K20+L20</f>
        <v>0</v>
      </c>
      <c r="N20" s="2630"/>
      <c r="O20" s="2631"/>
      <c r="P20" s="2632">
        <f t="shared" ref="P20:P26" si="9">N20+O20</f>
        <v>0</v>
      </c>
      <c r="R20" s="273">
        <f t="shared" si="5"/>
        <v>0</v>
      </c>
      <c r="S20" s="2299">
        <f t="shared" si="5"/>
        <v>0</v>
      </c>
    </row>
    <row r="21" spans="1:19">
      <c r="A21" s="136"/>
      <c r="B21" s="113" t="s">
        <v>226</v>
      </c>
      <c r="C21" s="3043"/>
      <c r="D21" s="109">
        <f t="shared" si="1"/>
        <v>0</v>
      </c>
      <c r="E21" s="132">
        <f t="shared" si="2"/>
        <v>0</v>
      </c>
      <c r="F21" s="133"/>
      <c r="G21" s="1365"/>
      <c r="H21" s="972">
        <f t="shared" si="6"/>
        <v>0</v>
      </c>
      <c r="I21" s="114">
        <f t="shared" si="7"/>
        <v>0</v>
      </c>
      <c r="J21" s="1982"/>
      <c r="K21" s="2628">
        <f t="shared" si="3"/>
        <v>0</v>
      </c>
      <c r="L21" s="273">
        <f t="shared" si="4"/>
        <v>0</v>
      </c>
      <c r="M21" s="2629">
        <f t="shared" si="8"/>
        <v>0</v>
      </c>
      <c r="N21" s="2630"/>
      <c r="O21" s="2631"/>
      <c r="P21" s="2632">
        <f t="shared" si="9"/>
        <v>0</v>
      </c>
      <c r="R21" s="273">
        <f t="shared" si="5"/>
        <v>0</v>
      </c>
      <c r="S21" s="2299">
        <f t="shared" si="5"/>
        <v>0</v>
      </c>
    </row>
    <row r="22" spans="1:19">
      <c r="A22" s="136"/>
      <c r="B22" s="113" t="s">
        <v>226</v>
      </c>
      <c r="C22" s="1362"/>
      <c r="D22" s="109">
        <f t="shared" si="1"/>
        <v>0</v>
      </c>
      <c r="E22" s="132">
        <f t="shared" si="2"/>
        <v>0</v>
      </c>
      <c r="F22" s="138"/>
      <c r="G22" s="1366"/>
      <c r="H22" s="972">
        <f t="shared" si="6"/>
        <v>0</v>
      </c>
      <c r="I22" s="114">
        <f t="shared" si="7"/>
        <v>0</v>
      </c>
      <c r="J22" s="1982"/>
      <c r="K22" s="2628">
        <f t="shared" si="3"/>
        <v>0</v>
      </c>
      <c r="L22" s="273">
        <f t="shared" si="4"/>
        <v>0</v>
      </c>
      <c r="M22" s="2629">
        <f t="shared" si="8"/>
        <v>0</v>
      </c>
      <c r="N22" s="2630"/>
      <c r="O22" s="2631"/>
      <c r="P22" s="2632">
        <f t="shared" si="9"/>
        <v>0</v>
      </c>
      <c r="R22" s="273">
        <f t="shared" si="5"/>
        <v>0</v>
      </c>
      <c r="S22" s="2299">
        <f t="shared" si="5"/>
        <v>0</v>
      </c>
    </row>
    <row r="23" spans="1:19">
      <c r="A23" s="136"/>
      <c r="B23" s="113" t="s">
        <v>226</v>
      </c>
      <c r="C23" s="137"/>
      <c r="D23" s="109">
        <f>ROUND($D$3*E23/$E$3,2)</f>
        <v>0</v>
      </c>
      <c r="E23" s="132">
        <f>SUM(F23:G23)</f>
        <v>0</v>
      </c>
      <c r="F23" s="138"/>
      <c r="G23" s="1366"/>
      <c r="H23" s="972">
        <f>ROUND($D$3*I23/$E$3,2)</f>
        <v>0</v>
      </c>
      <c r="I23" s="114">
        <f t="shared" si="7"/>
        <v>0</v>
      </c>
      <c r="J23" s="1982"/>
      <c r="K23" s="2628">
        <f t="shared" si="3"/>
        <v>0</v>
      </c>
      <c r="L23" s="273">
        <f t="shared" si="4"/>
        <v>0</v>
      </c>
      <c r="M23" s="2629">
        <f t="shared" si="8"/>
        <v>0</v>
      </c>
      <c r="N23" s="2630"/>
      <c r="O23" s="2631"/>
      <c r="P23" s="2632">
        <f t="shared" si="9"/>
        <v>0</v>
      </c>
      <c r="R23" s="273">
        <f t="shared" si="5"/>
        <v>0</v>
      </c>
      <c r="S23" s="2299">
        <f t="shared" si="5"/>
        <v>0</v>
      </c>
    </row>
    <row r="24" spans="1:19">
      <c r="A24" s="136"/>
      <c r="B24" s="113" t="s">
        <v>226</v>
      </c>
      <c r="C24" s="137"/>
      <c r="D24" s="109">
        <f>ROUND($D$3*E24/$E$3,2)</f>
        <v>0</v>
      </c>
      <c r="E24" s="132">
        <f>SUM(F24:G24)</f>
        <v>0</v>
      </c>
      <c r="F24" s="138"/>
      <c r="G24" s="1366"/>
      <c r="H24" s="972">
        <f>ROUND($D$3*I24/$E$3,2)</f>
        <v>0</v>
      </c>
      <c r="I24" s="114">
        <f t="shared" si="7"/>
        <v>0</v>
      </c>
      <c r="J24" s="1982"/>
      <c r="K24" s="2628">
        <f t="shared" si="3"/>
        <v>0</v>
      </c>
      <c r="L24" s="273">
        <f t="shared" si="4"/>
        <v>0</v>
      </c>
      <c r="M24" s="2629">
        <f t="shared" si="8"/>
        <v>0</v>
      </c>
      <c r="N24" s="2630"/>
      <c r="O24" s="2631"/>
      <c r="P24" s="2632">
        <f t="shared" si="9"/>
        <v>0</v>
      </c>
      <c r="R24" s="273">
        <f t="shared" si="5"/>
        <v>0</v>
      </c>
      <c r="S24" s="2299">
        <f t="shared" si="5"/>
        <v>0</v>
      </c>
    </row>
    <row r="25" spans="1:19">
      <c r="A25" s="136"/>
      <c r="B25" s="113" t="s">
        <v>226</v>
      </c>
      <c r="C25" s="137"/>
      <c r="D25" s="109">
        <f t="shared" si="1"/>
        <v>0</v>
      </c>
      <c r="E25" s="132">
        <f t="shared" si="2"/>
        <v>0</v>
      </c>
      <c r="F25" s="138"/>
      <c r="G25" s="1366"/>
      <c r="H25" s="108">
        <f t="shared" si="6"/>
        <v>0</v>
      </c>
      <c r="I25" s="114">
        <f t="shared" si="7"/>
        <v>0</v>
      </c>
      <c r="J25" s="1982"/>
      <c r="K25" s="2628">
        <f t="shared" si="3"/>
        <v>0</v>
      </c>
      <c r="L25" s="273">
        <f t="shared" si="4"/>
        <v>0</v>
      </c>
      <c r="M25" s="2629">
        <f t="shared" si="8"/>
        <v>0</v>
      </c>
      <c r="N25" s="2630"/>
      <c r="O25" s="2631"/>
      <c r="P25" s="2632">
        <f t="shared" si="9"/>
        <v>0</v>
      </c>
      <c r="R25" s="273">
        <f t="shared" si="5"/>
        <v>0</v>
      </c>
      <c r="S25" s="2299">
        <f t="shared" si="5"/>
        <v>0</v>
      </c>
    </row>
    <row r="26" spans="1:19">
      <c r="A26" s="136"/>
      <c r="B26" s="113" t="s">
        <v>226</v>
      </c>
      <c r="C26" s="140"/>
      <c r="D26" s="109">
        <f t="shared" si="1"/>
        <v>0</v>
      </c>
      <c r="E26" s="132">
        <f t="shared" si="2"/>
        <v>0</v>
      </c>
      <c r="F26" s="138"/>
      <c r="G26" s="1366"/>
      <c r="H26" s="108">
        <f t="shared" si="6"/>
        <v>0</v>
      </c>
      <c r="I26" s="114">
        <f t="shared" si="7"/>
        <v>0</v>
      </c>
      <c r="J26" s="1982"/>
      <c r="K26" s="2633">
        <f t="shared" si="3"/>
        <v>0</v>
      </c>
      <c r="L26" s="278">
        <f t="shared" si="4"/>
        <v>0</v>
      </c>
      <c r="M26" s="144">
        <f t="shared" si="8"/>
        <v>0</v>
      </c>
      <c r="N26" s="2634"/>
      <c r="O26" s="2635"/>
      <c r="P26" s="2636">
        <f t="shared" si="9"/>
        <v>0</v>
      </c>
      <c r="R26" s="273">
        <f t="shared" si="5"/>
        <v>0</v>
      </c>
      <c r="S26" s="2299">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2"/>
      <c r="K27" s="2637">
        <f>SUM(K19:K26)</f>
        <v>0</v>
      </c>
      <c r="L27" s="2638">
        <f>SUM(L19:L26)</f>
        <v>0</v>
      </c>
      <c r="M27" s="2639">
        <f>SUM(M19:M26)</f>
        <v>0</v>
      </c>
      <c r="N27" s="2637">
        <f t="shared" ref="N27:O27" si="10">SUM(N19:N26)</f>
        <v>0</v>
      </c>
      <c r="O27" s="2638">
        <f t="shared" si="10"/>
        <v>0</v>
      </c>
      <c r="P27" s="2640">
        <f>SUM(P19:P26)</f>
        <v>0</v>
      </c>
      <c r="R27" s="2303">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2"/>
      <c r="I28" s="1982"/>
      <c r="J28" s="1982"/>
      <c r="K28" s="1982"/>
      <c r="L28" s="1982"/>
    </row>
    <row r="29" spans="1:19">
      <c r="A29" s="136"/>
      <c r="B29" s="113" t="s">
        <v>227</v>
      </c>
      <c r="C29" s="2311" t="s">
        <v>2323</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215</v>
      </c>
      <c r="D30" s="132">
        <f>SUM(D28:D29)</f>
        <v>0</v>
      </c>
      <c r="E30" s="132">
        <f>SUM(E28:E29)</f>
        <v>0</v>
      </c>
      <c r="F30" s="132">
        <f>SUM(F28:F29)</f>
        <v>0</v>
      </c>
      <c r="G30" s="110">
        <f>SUM(G28:G29)</f>
        <v>0</v>
      </c>
      <c r="H30" s="1982"/>
      <c r="I30" s="1982"/>
      <c r="J30" s="1982"/>
      <c r="K30" s="1982"/>
      <c r="L30" s="1982"/>
    </row>
    <row r="31" spans="1:19" ht="32.25" customHeight="1" thickBot="1">
      <c r="A31" s="1367"/>
      <c r="B31" s="1368" t="s">
        <v>229</v>
      </c>
      <c r="C31" s="2328" t="s">
        <v>2325</v>
      </c>
      <c r="D31" s="1369">
        <f>D27+D30</f>
        <v>2079.0700000000002</v>
      </c>
      <c r="E31" s="1369">
        <f>E27+E30</f>
        <v>10000</v>
      </c>
      <c r="F31" s="1370">
        <f>F27+F30</f>
        <v>10000</v>
      </c>
      <c r="G31" s="1371">
        <f>G27+G30</f>
        <v>0</v>
      </c>
      <c r="H31" s="1982"/>
      <c r="I31" s="1982"/>
      <c r="J31" s="1982"/>
      <c r="K31" s="1982"/>
      <c r="L31" s="1982"/>
    </row>
    <row r="32" spans="1:19">
      <c r="A32" s="1982"/>
      <c r="B32" s="2361" t="s">
        <v>2324</v>
      </c>
      <c r="C32" s="2667"/>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5" sqref="J25"/>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6"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7" t="s">
        <v>235</v>
      </c>
      <c r="B2" s="2336">
        <f>项目基本情况!D3</f>
        <v>43382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8" t="s">
        <v>864</v>
      </c>
      <c r="B4" s="150"/>
      <c r="C4" s="151"/>
      <c r="D4" s="1205"/>
      <c r="E4" s="1206" t="s">
        <v>865</v>
      </c>
      <c r="F4" s="151"/>
      <c r="G4" s="151"/>
      <c r="H4" s="151"/>
      <c r="I4" s="151"/>
      <c r="J4" s="152"/>
      <c r="K4" s="1207"/>
      <c r="L4" s="1208"/>
      <c r="M4" s="151"/>
      <c r="N4" s="1206"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2"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6" t="s">
        <v>3110</v>
      </c>
      <c r="O5" s="161" t="s">
        <v>246</v>
      </c>
      <c r="P5" s="163" t="s">
        <v>247</v>
      </c>
      <c r="Q5" s="164" t="s">
        <v>248</v>
      </c>
      <c r="R5" s="165" t="s">
        <v>249</v>
      </c>
      <c r="S5" s="2641" t="s">
        <v>2576</v>
      </c>
      <c r="T5" s="166" t="s">
        <v>250</v>
      </c>
      <c r="U5" s="167" t="s">
        <v>251</v>
      </c>
      <c r="V5" s="157" t="s">
        <v>252</v>
      </c>
      <c r="W5" s="157" t="s">
        <v>253</v>
      </c>
      <c r="X5" s="1816"/>
      <c r="Y5" s="168" t="s">
        <v>254</v>
      </c>
      <c r="Z5" s="169" t="s">
        <v>255</v>
      </c>
      <c r="AA5" s="157" t="s">
        <v>252</v>
      </c>
      <c r="AB5" s="157" t="s">
        <v>253</v>
      </c>
      <c r="AC5" s="1817"/>
      <c r="AD5" s="170" t="s">
        <v>254</v>
      </c>
      <c r="AE5" s="1" t="s">
        <v>870</v>
      </c>
      <c r="AF5" s="157" t="s">
        <v>256</v>
      </c>
      <c r="AG5" s="168" t="s">
        <v>257</v>
      </c>
      <c r="AH5" s="1817" t="s">
        <v>2326</v>
      </c>
      <c r="AI5" s="169" t="s">
        <v>2295</v>
      </c>
      <c r="AJ5" s="169" t="s">
        <v>258</v>
      </c>
      <c r="AK5" s="157" t="s">
        <v>259</v>
      </c>
      <c r="AL5" s="157" t="s">
        <v>260</v>
      </c>
      <c r="AM5" s="170" t="s">
        <v>261</v>
      </c>
      <c r="AN5" s="2413"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办公</v>
      </c>
      <c r="B6" s="2335" t="str">
        <f>IF(A6=0,"","经营性")</f>
        <v>经营性</v>
      </c>
      <c r="C6" s="171" t="s">
        <v>1678</v>
      </c>
      <c r="D6" s="2306">
        <f>SUMIF(项目基本情况!D$15:I$15,C6,项目基本情况!D$18:I$18)</f>
        <v>50</v>
      </c>
      <c r="E6" s="2307">
        <f>IF(B6="","",SUMIF(项目基本情况!D$15:I$15,C6,项目基本情况!D$17:I$17))</f>
        <v>65746</v>
      </c>
      <c r="F6" s="172">
        <f>SUMIF(项目基本情况!D$15:I$15,C6,项目基本情况!D$19:I$19)</f>
        <v>50</v>
      </c>
      <c r="G6" s="173">
        <f>IF(ISERROR(ROUND(POWER(1+H6,D6-F6)*(POWER(1+H6,F6)-1)/(POWER(1+H6,D6)-1),3)),0,ROUND(POWER(1+H6,D6-F6)*(POWER(1+H6,F6)-1)/(POWER(1+H6,D6)-1),3))</f>
        <v>1</v>
      </c>
      <c r="H6" s="3044">
        <v>0.04</v>
      </c>
      <c r="I6" s="3044">
        <v>0.05</v>
      </c>
      <c r="J6" s="174">
        <v>0.08</v>
      </c>
      <c r="K6" s="177">
        <f>SUMIF('数据-汇总表'!C$19:C$33,'数据-取费表'!A6,'数据-汇总表'!E$19:E$33)</f>
        <v>10000</v>
      </c>
      <c r="L6" s="3170">
        <v>2300</v>
      </c>
      <c r="M6" s="175">
        <f t="shared" ref="M6:M14" si="0">ROUND(K6*L6/10000,0)</f>
        <v>2300</v>
      </c>
      <c r="N6" s="3046">
        <v>0</v>
      </c>
      <c r="O6" s="175">
        <f>IF($N$5="成新度","——",ROUND(M6*N6,0))</f>
        <v>0</v>
      </c>
      <c r="P6" s="176">
        <f>IF($N$5="成新度","——",M6-O6)</f>
        <v>2300</v>
      </c>
      <c r="Q6" s="3288">
        <v>0.2</v>
      </c>
      <c r="R6" s="177">
        <f>SUMIF('数据-汇总表'!C$19:C$33,A6,'数据-汇总表'!R$19:R$33)</f>
        <v>2079.0700000000002</v>
      </c>
      <c r="S6" s="130">
        <f>IF('数据-汇总表'!$I$17="按面积比例",SUMIF('数据-汇总表'!C$19:C$33,A6,'数据-汇总表'!K$19:K$33),SUMIF('数据-汇总表'!C$19:C$33,A6,'数据-汇总表'!N$19:N$33))</f>
        <v>0</v>
      </c>
      <c r="T6" s="2232" t="str">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0">
        <f>IF(AF6="",0,AE6-AF6)</f>
        <v>0</v>
      </c>
      <c r="AH6" s="139"/>
      <c r="AI6" s="185"/>
      <c r="AJ6" s="186"/>
      <c r="AK6" s="187"/>
      <c r="AL6" s="188"/>
      <c r="AM6" s="3058"/>
      <c r="AN6" s="2414"/>
      <c r="AO6" s="1998"/>
      <c r="AP6" s="1201">
        <f>ROUND(1-1/(1+H6)^F6,3)</f>
        <v>0.85899999999999999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300">
        <f>'数据-汇总表'!C20</f>
        <v>0</v>
      </c>
      <c r="B7" s="2335" t="str">
        <f t="shared" ref="B7:B13" si="1">IF(A7=0,"","经营性")</f>
        <v/>
      </c>
      <c r="C7" s="171" t="s">
        <v>3020</v>
      </c>
      <c r="D7" s="2306">
        <f>SUMIF(项目基本情况!D$15:I$15,C7,项目基本情况!D$18:I$18)</f>
        <v>50</v>
      </c>
      <c r="E7" s="2307"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3044"/>
      <c r="I7" s="3044"/>
      <c r="J7" s="174"/>
      <c r="K7" s="177">
        <f>SUMIF('数据-汇总表'!C$19:C$33,'数据-取费表'!A7,'数据-汇总表'!E$19:E$33)</f>
        <v>0</v>
      </c>
      <c r="L7" s="3045"/>
      <c r="M7" s="175">
        <f t="shared" si="0"/>
        <v>0</v>
      </c>
      <c r="N7" s="3046"/>
      <c r="O7" s="175">
        <f t="shared" ref="O7:O14" si="3">IF($N$5="成新度","——",ROUND(M7*N7,0))</f>
        <v>0</v>
      </c>
      <c r="P7" s="176">
        <f t="shared" ref="P7:P14" si="4">IF($N$5="成新度","——",M7-O7)</f>
        <v>0</v>
      </c>
      <c r="Q7" s="3047"/>
      <c r="R7" s="177">
        <f>SUMIF('数据-汇总表'!C$19:C$33,A7,'数据-汇总表'!R$19:R$33)</f>
        <v>0</v>
      </c>
      <c r="S7" s="130">
        <f>IF('数据-汇总表'!$I$17="按面积比例",SUMIF('数据-汇总表'!C$19:C$33,A7,'数据-汇总表'!K$19:K$33),SUMIF('数据-汇总表'!C$19:C$33,A7,'数据-汇总表'!N$19:N$33))</f>
        <v>0</v>
      </c>
      <c r="T7" s="2232" t="str">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0">
        <f t="shared" ref="AG7:AG13" si="7">IF(AF7="",0,AE7-AF7)</f>
        <v>0</v>
      </c>
      <c r="AH7" s="139"/>
      <c r="AI7" s="185"/>
      <c r="AJ7" s="186"/>
      <c r="AK7" s="187"/>
      <c r="AL7" s="188"/>
      <c r="AM7" s="2412"/>
      <c r="AN7" s="2414"/>
      <c r="AO7" s="1998"/>
      <c r="AP7" s="1201">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300">
        <f>'数据-汇总表'!C21</f>
        <v>0</v>
      </c>
      <c r="B8" s="2335" t="str">
        <f t="shared" si="1"/>
        <v/>
      </c>
      <c r="C8" s="171"/>
      <c r="D8" s="2306">
        <f>SUMIF(项目基本情况!D$15:I$15,C8,项目基本情况!D$18:I$18)</f>
        <v>0</v>
      </c>
      <c r="E8" s="2307" t="str">
        <f>IF(B8="","",SUMIF(项目基本情况!D$15:I$15,C8,项目基本情况!D$17:I$17))</f>
        <v/>
      </c>
      <c r="F8" s="172">
        <f>SUMIF(项目基本情况!D$15:I$15,C8,项目基本情况!D$19:I$19)</f>
        <v>0</v>
      </c>
      <c r="G8" s="173">
        <f t="shared" si="2"/>
        <v>0</v>
      </c>
      <c r="H8" s="3044"/>
      <c r="I8" s="3044"/>
      <c r="J8" s="174"/>
      <c r="K8" s="177">
        <f>SUMIF('数据-汇总表'!C$19:C$33,'数据-取费表'!A8,'数据-汇总表'!E$19:E$33)</f>
        <v>0</v>
      </c>
      <c r="L8" s="3045"/>
      <c r="M8" s="175">
        <f>ROUND(K8*L8/10000,0)</f>
        <v>0</v>
      </c>
      <c r="N8" s="3046"/>
      <c r="O8" s="175">
        <f t="shared" si="3"/>
        <v>0</v>
      </c>
      <c r="P8" s="176">
        <f t="shared" si="4"/>
        <v>0</v>
      </c>
      <c r="Q8" s="3047"/>
      <c r="R8" s="177">
        <f>SUMIF('数据-汇总表'!C$19:C$33,A8,'数据-汇总表'!R$19:R$33)</f>
        <v>0</v>
      </c>
      <c r="S8" s="130">
        <f>IF('数据-汇总表'!$I$17="按面积比例",SUMIF('数据-汇总表'!C$19:C$33,A8,'数据-汇总表'!K$19:K$33),SUMIF('数据-汇总表'!C$19:C$33,A8,'数据-汇总表'!N$19:N$33))</f>
        <v>0</v>
      </c>
      <c r="T8" s="2232" t="str">
        <f t="shared" si="5"/>
        <v>0</v>
      </c>
      <c r="U8" s="178"/>
      <c r="V8" s="179"/>
      <c r="W8" s="179"/>
      <c r="X8" s="2319"/>
      <c r="Y8" s="180"/>
      <c r="Z8" s="181"/>
      <c r="AA8" s="174"/>
      <c r="AB8" s="174"/>
      <c r="AC8" s="2322"/>
      <c r="AD8" s="182"/>
      <c r="AE8" s="970">
        <f t="shared" ca="1" si="6"/>
        <v>0</v>
      </c>
      <c r="AF8" s="139"/>
      <c r="AG8" s="1210">
        <f t="shared" si="7"/>
        <v>0</v>
      </c>
      <c r="AH8" s="139"/>
      <c r="AI8" s="185"/>
      <c r="AJ8" s="186"/>
      <c r="AK8" s="187"/>
      <c r="AL8" s="188"/>
      <c r="AM8" s="2412"/>
      <c r="AN8" s="2414"/>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t="str">
        <f t="shared" si="5"/>
        <v>0</v>
      </c>
      <c r="U9" s="178"/>
      <c r="V9" s="179"/>
      <c r="W9" s="179"/>
      <c r="X9" s="2319"/>
      <c r="Y9" s="180"/>
      <c r="Z9" s="181"/>
      <c r="AA9" s="174"/>
      <c r="AB9" s="174"/>
      <c r="AC9" s="2322"/>
      <c r="AD9" s="182"/>
      <c r="AE9" s="970">
        <f t="shared" ca="1" si="6"/>
        <v>0</v>
      </c>
      <c r="AF9" s="139"/>
      <c r="AG9" s="1210">
        <f t="shared" si="7"/>
        <v>0</v>
      </c>
      <c r="AH9" s="139"/>
      <c r="AI9" s="185"/>
      <c r="AJ9" s="186"/>
      <c r="AK9" s="187"/>
      <c r="AL9" s="188"/>
      <c r="AM9" s="2412"/>
      <c r="AN9" s="2414"/>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t="str">
        <f t="shared" si="5"/>
        <v>0</v>
      </c>
      <c r="U10" s="178"/>
      <c r="V10" s="179"/>
      <c r="W10" s="179"/>
      <c r="X10" s="2319"/>
      <c r="Y10" s="180"/>
      <c r="Z10" s="181"/>
      <c r="AA10" s="174"/>
      <c r="AB10" s="174"/>
      <c r="AC10" s="2322"/>
      <c r="AD10" s="182"/>
      <c r="AE10" s="970">
        <f t="shared" ca="1" si="6"/>
        <v>0</v>
      </c>
      <c r="AF10" s="139"/>
      <c r="AG10" s="1210">
        <f t="shared" si="7"/>
        <v>0</v>
      </c>
      <c r="AH10" s="139"/>
      <c r="AI10" s="185"/>
      <c r="AJ10" s="186"/>
      <c r="AK10" s="187"/>
      <c r="AL10" s="188"/>
      <c r="AM10" s="2412"/>
      <c r="AN10" s="2414"/>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t="str">
        <f t="shared" si="5"/>
        <v>0</v>
      </c>
      <c r="U11" s="183"/>
      <c r="V11" s="174"/>
      <c r="W11" s="174"/>
      <c r="X11" s="2322"/>
      <c r="Y11" s="180"/>
      <c r="Z11" s="193"/>
      <c r="AA11" s="174"/>
      <c r="AB11" s="174"/>
      <c r="AC11" s="2322"/>
      <c r="AD11" s="182"/>
      <c r="AE11" s="970">
        <f t="shared" ca="1" si="6"/>
        <v>0</v>
      </c>
      <c r="AF11" s="139"/>
      <c r="AG11" s="1210">
        <f t="shared" si="7"/>
        <v>0</v>
      </c>
      <c r="AH11" s="139"/>
      <c r="AI11" s="185"/>
      <c r="AJ11" s="186"/>
      <c r="AK11" s="194"/>
      <c r="AL11" s="195"/>
      <c r="AM11" s="1815"/>
      <c r="AN11" s="2414"/>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t="str">
        <f t="shared" si="5"/>
        <v>0</v>
      </c>
      <c r="U12" s="183"/>
      <c r="V12" s="174"/>
      <c r="W12" s="174"/>
      <c r="X12" s="2322"/>
      <c r="Y12" s="180"/>
      <c r="Z12" s="193"/>
      <c r="AA12" s="174"/>
      <c r="AB12" s="174"/>
      <c r="AC12" s="2322"/>
      <c r="AD12" s="182"/>
      <c r="AE12" s="970">
        <f t="shared" ca="1" si="6"/>
        <v>0</v>
      </c>
      <c r="AF12" s="139"/>
      <c r="AG12" s="1210">
        <f t="shared" si="7"/>
        <v>0</v>
      </c>
      <c r="AH12" s="139"/>
      <c r="AI12" s="185"/>
      <c r="AJ12" s="186"/>
      <c r="AK12" s="194"/>
      <c r="AL12" s="195"/>
      <c r="AM12" s="1815"/>
      <c r="AN12" s="2414"/>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t="str">
        <f t="shared" si="5"/>
        <v>0</v>
      </c>
      <c r="U13" s="178"/>
      <c r="V13" s="179"/>
      <c r="W13" s="179"/>
      <c r="X13" s="2319"/>
      <c r="Y13" s="180"/>
      <c r="Z13" s="181"/>
      <c r="AA13" s="174"/>
      <c r="AB13" s="174"/>
      <c r="AC13" s="2322"/>
      <c r="AD13" s="182"/>
      <c r="AE13" s="970">
        <f t="shared" ca="1" si="6"/>
        <v>0</v>
      </c>
      <c r="AF13" s="139"/>
      <c r="AG13" s="1210">
        <f t="shared" si="7"/>
        <v>0</v>
      </c>
      <c r="AH13" s="139"/>
      <c r="AI13" s="185"/>
      <c r="AJ13" s="186"/>
      <c r="AK13" s="187"/>
      <c r="AL13" s="188"/>
      <c r="AM13" s="2412"/>
      <c r="AN13" s="2414"/>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2"/>
      <c r="G14" s="173"/>
      <c r="H14" s="2308"/>
      <c r="I14" s="2308"/>
      <c r="J14" s="2308"/>
      <c r="K14" s="177">
        <f>SUMIF('数据-汇总表'!C$19:C$33,'数据-取费表'!A14,'数据-汇总表'!E$19:E$33)</f>
        <v>0</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10" t="s">
        <v>2319</v>
      </c>
      <c r="B15" s="2304" t="s">
        <v>1680</v>
      </c>
      <c r="C15" s="2305" t="s">
        <v>2318</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2300</v>
      </c>
      <c r="M16" s="204">
        <f>SUM(M6:M14)</f>
        <v>2300</v>
      </c>
      <c r="N16" s="205">
        <f>ROUND(SUMPRODUCT(M6:M14,N6:N14)/M16,3)</f>
        <v>0</v>
      </c>
      <c r="O16" s="204">
        <f>SUM(O6:O14)</f>
        <v>0</v>
      </c>
      <c r="P16" s="204">
        <f>SUM(P6:P14)</f>
        <v>2300</v>
      </c>
      <c r="Q16" s="206">
        <f>ROUND(SUMPRODUCT(Q6:Q13,K6:K13)/SUMPRODUCT((Q6:Q13&gt;0)*(K6:K13)),2)</f>
        <v>0.2</v>
      </c>
      <c r="R16" s="2309">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1">
        <f>ROUND(SUMPRODUCT(AP6:AP13,K6:K13)/SUMPRODUCT((AP6:AP13&gt;0)*(K6:K13)),3)</f>
        <v>0.85899999999999999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263</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264</v>
      </c>
      <c r="B19" s="216">
        <v>0</v>
      </c>
      <c r="C19" s="2362" t="s">
        <v>2339</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265</v>
      </c>
      <c r="B20" s="218">
        <v>1.5</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266</v>
      </c>
      <c r="B21" s="218">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267</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268</v>
      </c>
      <c r="B23" s="220">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269</v>
      </c>
      <c r="B24" s="222">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270</v>
      </c>
      <c r="B26" s="223"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4" t="s">
        <v>2341</v>
      </c>
      <c r="B27" s="225"/>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6" t="s">
        <v>2342</v>
      </c>
      <c r="B28" s="227">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29" t="s">
        <v>2340</v>
      </c>
      <c r="B29" s="230"/>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3"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6" t="s">
        <v>274</v>
      </c>
      <c r="B31" s="228">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5" t="s">
        <v>275</v>
      </c>
      <c r="B32" s="1375"/>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4" t="s">
        <v>278</v>
      </c>
      <c r="B33" s="1376">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279</v>
      </c>
      <c r="B34" s="231">
        <v>0</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276</v>
      </c>
      <c r="B35" s="227">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277</v>
      </c>
      <c r="B36" s="232">
        <v>1.4999999999999999E-2</v>
      </c>
      <c r="C36" s="2363" t="s">
        <v>2898</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280</v>
      </c>
      <c r="B37" s="234">
        <v>0.02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281</v>
      </c>
      <c r="B38" s="231">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2460</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2461</v>
      </c>
      <c r="B40" s="2501">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8">
        <v>0.05</v>
      </c>
      <c r="C42" s="311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3"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0.03</v>
      </c>
      <c r="C48" s="3094"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4"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294</v>
      </c>
      <c r="B53" s="249" t="s">
        <v>1156</v>
      </c>
      <c r="C53" s="3095" t="s">
        <v>2906</v>
      </c>
      <c r="D53" s="3096"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8" t="s">
        <v>2908</v>
      </c>
      <c r="B54" s="184"/>
      <c r="C54" s="1992">
        <v>30</v>
      </c>
      <c r="D54" s="309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8" t="s">
        <v>2909</v>
      </c>
      <c r="B55" s="184"/>
      <c r="C55" s="1992">
        <v>24</v>
      </c>
      <c r="D55" s="309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8" t="s">
        <v>2910</v>
      </c>
      <c r="B56" s="184"/>
      <c r="C56" s="1992">
        <v>18</v>
      </c>
      <c r="D56" s="309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8" t="s">
        <v>2911</v>
      </c>
      <c r="B57" s="184"/>
      <c r="C57" s="1992">
        <v>12</v>
      </c>
      <c r="D57" s="309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8" t="s">
        <v>2912</v>
      </c>
      <c r="B58" s="184"/>
      <c r="C58" s="1992">
        <v>3</v>
      </c>
      <c r="D58" s="309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8" t="s">
        <v>2913</v>
      </c>
      <c r="B59" s="184"/>
      <c r="C59" s="1992">
        <v>1.5</v>
      </c>
      <c r="D59" s="309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8" t="s">
        <v>2914</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8" t="s">
        <v>2915</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8" t="s">
        <v>2916</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99" t="s">
        <v>2917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420" t="s">
        <v>1664</v>
      </c>
      <c r="B1" s="3421"/>
      <c r="C1" s="3421"/>
      <c r="D1" s="3421"/>
      <c r="E1" s="3421"/>
      <c r="F1" s="3421"/>
      <c r="G1" s="3421"/>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hidden="1">
      <c r="A3" s="1224" t="s">
        <v>1667</v>
      </c>
      <c r="B3" s="1225" t="s">
        <v>1654</v>
      </c>
      <c r="C3" s="3100" t="s">
        <v>2923</v>
      </c>
      <c r="D3" s="2007"/>
      <c r="E3" s="1226" t="s">
        <v>1667</v>
      </c>
      <c r="F3" s="1227" t="s">
        <v>1655</v>
      </c>
      <c r="G3" s="3104" t="s">
        <v>2922</v>
      </c>
      <c r="H3" s="2006"/>
      <c r="I3" s="2006"/>
      <c r="J3" s="2006"/>
      <c r="K3" s="2006"/>
      <c r="L3" s="2006"/>
      <c r="M3" s="2006"/>
      <c r="N3" s="2006"/>
      <c r="O3" s="2006"/>
      <c r="P3" s="2006"/>
      <c r="Q3" s="2006"/>
      <c r="R3" s="2006"/>
    </row>
    <row r="4" spans="1:18" ht="41.25" hidden="1">
      <c r="A4" s="1226"/>
      <c r="B4" s="1228" t="s">
        <v>1668</v>
      </c>
      <c r="C4" s="3101" t="s">
        <v>2924</v>
      </c>
      <c r="D4" s="2007"/>
      <c r="E4" s="1229"/>
      <c r="F4" s="1230" t="s">
        <v>1669</v>
      </c>
      <c r="G4" s="3102" t="s">
        <v>2919</v>
      </c>
      <c r="H4" s="2006"/>
      <c r="I4" s="2006"/>
      <c r="J4" s="2006"/>
      <c r="K4" s="2006"/>
      <c r="L4" s="2006"/>
      <c r="M4" s="2006"/>
      <c r="N4" s="2006"/>
      <c r="O4" s="2006"/>
      <c r="P4" s="2006"/>
      <c r="Q4" s="2006"/>
      <c r="R4" s="2006"/>
    </row>
    <row r="5" spans="1:18" ht="54">
      <c r="A5" s="1226"/>
      <c r="B5" s="1228" t="s">
        <v>1670</v>
      </c>
      <c r="C5" s="3228" t="s">
        <v>3088</v>
      </c>
      <c r="D5" s="2007"/>
      <c r="E5" s="1229"/>
      <c r="F5" s="1228" t="s">
        <v>2550</v>
      </c>
      <c r="G5" s="3102" t="s">
        <v>2920</v>
      </c>
      <c r="H5" s="2006"/>
      <c r="I5" s="2006"/>
      <c r="J5" s="2006"/>
      <c r="K5" s="2006"/>
      <c r="L5" s="2006"/>
      <c r="M5" s="2006"/>
      <c r="N5" s="2006"/>
      <c r="O5" s="2006"/>
      <c r="P5" s="2006"/>
      <c r="Q5" s="2006"/>
      <c r="R5" s="2006"/>
    </row>
    <row r="6" spans="1:18" ht="148.5">
      <c r="A6" s="1226"/>
      <c r="B6" s="1228" t="s">
        <v>1656</v>
      </c>
      <c r="C6" s="3181" t="s">
        <v>3089</v>
      </c>
      <c r="D6" s="2007"/>
      <c r="E6" s="1229"/>
      <c r="F6" s="1228" t="s">
        <v>2551</v>
      </c>
      <c r="G6" s="3102" t="s">
        <v>2918</v>
      </c>
      <c r="H6" s="2006"/>
      <c r="I6" s="2006"/>
      <c r="J6" s="2006"/>
      <c r="K6" s="2006"/>
      <c r="L6" s="2006"/>
      <c r="M6" s="2006"/>
      <c r="N6" s="2006"/>
      <c r="O6" s="2006"/>
      <c r="P6" s="2006"/>
      <c r="Q6" s="2006"/>
      <c r="R6" s="2006"/>
    </row>
    <row r="7" spans="1:18" ht="41.25" thickBot="1">
      <c r="A7" s="1226"/>
      <c r="B7" s="1228" t="s">
        <v>2550</v>
      </c>
      <c r="C7" s="3181" t="s">
        <v>3085</v>
      </c>
      <c r="D7" s="2008"/>
      <c r="E7" s="1231"/>
      <c r="F7" s="1232" t="s">
        <v>1671</v>
      </c>
      <c r="G7" s="3105" t="s">
        <v>2921</v>
      </c>
      <c r="H7" s="2006"/>
      <c r="I7" s="2006"/>
      <c r="J7" s="2006"/>
      <c r="K7" s="2006"/>
      <c r="L7" s="2006"/>
      <c r="M7" s="2006"/>
      <c r="N7" s="2006"/>
      <c r="O7" s="2006"/>
      <c r="P7" s="2006"/>
      <c r="Q7" s="2006"/>
      <c r="R7" s="2006"/>
    </row>
    <row r="8" spans="1:18" ht="27">
      <c r="A8" s="1226"/>
      <c r="B8" s="1228" t="s">
        <v>2551</v>
      </c>
      <c r="C8" s="3181" t="s">
        <v>3086</v>
      </c>
      <c r="D8" s="2008"/>
      <c r="E8" s="2008"/>
      <c r="F8" s="1551"/>
      <c r="G8" s="1551"/>
      <c r="H8" s="2006"/>
      <c r="I8" s="2006"/>
      <c r="J8" s="2006"/>
      <c r="K8" s="2006"/>
      <c r="L8" s="2006"/>
      <c r="M8" s="2006"/>
      <c r="N8" s="2006"/>
      <c r="O8" s="2006"/>
      <c r="P8" s="2006"/>
      <c r="Q8" s="2006"/>
      <c r="R8" s="2006"/>
    </row>
    <row r="9" spans="1:18" ht="108">
      <c r="A9" s="1226"/>
      <c r="B9" s="1228" t="s">
        <v>1657</v>
      </c>
      <c r="C9" s="3228" t="s">
        <v>3090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10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1673</v>
      </c>
      <c r="B13" s="2598"/>
      <c r="C13" s="2598"/>
      <c r="D13" s="1221"/>
      <c r="E13" s="2598"/>
      <c r="F13" s="2598"/>
      <c r="G13" s="2598"/>
    </row>
    <row r="14" spans="1:18" ht="14.25" thickBot="1">
      <c r="A14" s="1235"/>
      <c r="B14" s="1236"/>
      <c r="C14" s="1237" t="s">
        <v>1665</v>
      </c>
      <c r="D14" s="2007"/>
      <c r="E14" s="1238"/>
      <c r="F14" s="1238"/>
      <c r="G14" s="1220" t="s">
        <v>1666</v>
      </c>
    </row>
    <row r="15" spans="1:18" ht="54">
      <c r="A15" s="2608" t="s">
        <v>1658</v>
      </c>
      <c r="B15" s="1239" t="s">
        <v>1654</v>
      </c>
      <c r="C15" s="1240" t="str">
        <f>C3</f>
        <v>估价对象周边居住用地比例、居住小区规模和社区发展完善程度，综合评价居住社区成熟度一般</v>
      </c>
      <c r="D15" s="2007"/>
      <c r="E15" s="2605" t="s">
        <v>1659</v>
      </c>
      <c r="F15" s="1239" t="s">
        <v>1674</v>
      </c>
      <c r="G15" s="1241" t="str">
        <f>G3</f>
        <v>估价对象位于XX开发区，园区建设成熟度XX，产业集聚程度XX</v>
      </c>
    </row>
    <row r="16" spans="1:18" ht="40.5">
      <c r="A16" s="2609"/>
      <c r="B16" s="1242" t="s">
        <v>1668</v>
      </c>
      <c r="C16" s="1243" t="str">
        <f>C4</f>
        <v>估价对象位于XX商圈，周边商业氛围成熟，人流量大，商业繁华度好</v>
      </c>
      <c r="D16" s="2007"/>
      <c r="E16" s="2606"/>
      <c r="F16" s="1244" t="s">
        <v>1669</v>
      </c>
      <c r="G16" s="1003" t="str">
        <f>G4</f>
        <v>估价对象周边道路状况、公共交通通达情况、停车便捷程度，综合评价交通便捷度较好</v>
      </c>
    </row>
    <row r="17" spans="1:7" ht="54">
      <c r="A17" s="2609"/>
      <c r="B17" s="1242" t="s">
        <v>1670</v>
      </c>
      <c r="C17" s="1243" t="str">
        <f>C5</f>
        <v>估价对象位于西直门商圈，估价对象周边主要以居住为主，办公楼项目较少，办公集聚程度一般。</v>
      </c>
      <c r="D17" s="2008"/>
      <c r="E17" s="2606"/>
      <c r="F17" s="1244" t="s">
        <v>1675</v>
      </c>
      <c r="G17" s="2813"/>
    </row>
    <row r="18" spans="1:7" ht="148.5">
      <c r="A18" s="2609"/>
      <c r="B18" s="1244"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8"/>
      <c r="E18" s="2606"/>
      <c r="F18" s="1244" t="s">
        <v>1671</v>
      </c>
      <c r="G18" s="1003" t="str">
        <f>G7</f>
        <v>该园区内是否有污染型企业，绿化情况，卫生条件，整体环境状况判断</v>
      </c>
    </row>
    <row r="19" spans="1:7" ht="27">
      <c r="A19" s="2609"/>
      <c r="B19" s="1244" t="s">
        <v>1660</v>
      </c>
      <c r="C19" s="2813"/>
      <c r="D19" s="2007"/>
      <c r="E19" s="2606"/>
      <c r="F19" s="1228" t="s">
        <v>2550</v>
      </c>
      <c r="G19" s="1003" t="str">
        <f>G5</f>
        <v>估价对象所在区域公共配套设施齐备情况</v>
      </c>
    </row>
    <row r="20" spans="1:7" ht="108">
      <c r="A20" s="2609"/>
      <c r="B20" s="1244" t="s">
        <v>1661</v>
      </c>
      <c r="C20" s="1243" t="str">
        <f>C9</f>
        <v>区域自然环境：官园公园、什刹海公园、北海公园；人文环境：妙应寺白塔、恭王府、历代帝王庙、梅兰芳纪念馆、西直门天主教堂、西城区图书馆；综合评价环境状况好。</v>
      </c>
      <c r="D20" s="2008"/>
      <c r="E20" s="2606"/>
      <c r="F20" s="1228" t="s">
        <v>2551</v>
      </c>
      <c r="G20" s="1003" t="str">
        <f>G6</f>
        <v>估价对象所在区域基础设施水平</v>
      </c>
    </row>
    <row r="21" spans="1:7" ht="27">
      <c r="A21" s="2609"/>
      <c r="B21" s="1228" t="s">
        <v>2550</v>
      </c>
      <c r="C21" s="1003" t="str">
        <f>C7</f>
        <v>估价对象所在区域公共配套设施齐备</v>
      </c>
      <c r="D21" s="2007"/>
      <c r="E21" s="2606"/>
      <c r="F21" s="1244" t="s">
        <v>1662</v>
      </c>
      <c r="G21" s="3106"/>
    </row>
    <row r="22" spans="1:7" ht="27">
      <c r="A22" s="2609"/>
      <c r="B22" s="1228" t="s">
        <v>2551</v>
      </c>
      <c r="C22" s="1003" t="str">
        <f>C8</f>
        <v>估价对象所在区域基础设施水平达到七通</v>
      </c>
      <c r="D22" s="2007"/>
      <c r="E22" s="2606"/>
      <c r="F22" s="1244" t="s">
        <v>1672</v>
      </c>
      <c r="G22" s="2813"/>
    </row>
    <row r="23" spans="1:7" ht="15" thickBot="1">
      <c r="A23" s="2609"/>
      <c r="B23" s="1244" t="s">
        <v>1662</v>
      </c>
      <c r="C23" s="3106"/>
      <c r="E23" s="2607"/>
      <c r="F23" s="1245" t="s">
        <v>1676</v>
      </c>
      <c r="G23" s="3107"/>
    </row>
    <row r="24" spans="1:7" ht="14.25" thickBot="1">
      <c r="A24" s="2610"/>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2846</v>
      </c>
      <c r="B1" s="3064">
        <f>SUM(B14:B23)</f>
        <v>10000</v>
      </c>
      <c r="C1" s="3065"/>
      <c r="D1" s="3065"/>
      <c r="E1" s="3065"/>
      <c r="F1" s="3065"/>
    </row>
    <row r="2" spans="1:9" ht="16.5">
      <c r="A2" s="3064" t="s">
        <v>2847</v>
      </c>
      <c r="B2" s="3064">
        <f>SUM(C14:C23)</f>
        <v>2079.0700000000002</v>
      </c>
      <c r="C2" s="3065"/>
      <c r="D2" s="3065"/>
      <c r="E2" s="3065"/>
      <c r="F2" s="3065"/>
    </row>
    <row r="3" spans="1:9" ht="16.5">
      <c r="A3" s="3064" t="s">
        <v>2848</v>
      </c>
      <c r="B3" s="3066">
        <f>项目基本情况!D3</f>
        <v>43382</v>
      </c>
      <c r="C3" s="3065"/>
      <c r="D3" s="3065"/>
      <c r="E3" s="3065"/>
      <c r="F3" s="3065"/>
    </row>
    <row r="4" spans="1:9" ht="33">
      <c r="A4" s="3064" t="s">
        <v>2849</v>
      </c>
      <c r="B4" s="3064" t="s">
        <v>2850</v>
      </c>
      <c r="C4" s="3064" t="s">
        <v>2851</v>
      </c>
      <c r="D4" s="3064" t="s">
        <v>2852</v>
      </c>
      <c r="E4" s="3065"/>
      <c r="F4" s="3065"/>
    </row>
    <row r="5" spans="1:9" ht="16.5">
      <c r="A5" s="3064" t="s">
        <v>2853</v>
      </c>
      <c r="B5" s="3064">
        <f ca="1">SUM(D14:D23)</f>
        <v>40128</v>
      </c>
      <c r="C5" s="3064">
        <f ca="1">ROUND(B5*10000/$B$1,0)</f>
        <v>40128</v>
      </c>
      <c r="D5" s="3064">
        <f ca="1">ROUND(B5*10000/$B$2,0)</f>
        <v>193009</v>
      </c>
      <c r="E5" s="3065"/>
      <c r="F5" s="3065"/>
    </row>
    <row r="6" spans="1:9" ht="16.5">
      <c r="A6" s="3064" t="s">
        <v>2854</v>
      </c>
      <c r="B6" s="3064">
        <f>SUM(G14:G23)</f>
        <v>0</v>
      </c>
      <c r="C6" s="3064">
        <f t="shared" ref="C6:C8" si="0">ROUND(B6*10000/$B$1,0)</f>
        <v>0</v>
      </c>
      <c r="D6" s="3064">
        <f t="shared" ref="D6:D8" si="1">ROUND(B6*10000/$B$2,0)</f>
        <v>0</v>
      </c>
      <c r="E6" s="3065"/>
      <c r="F6" s="3065"/>
    </row>
    <row r="7" spans="1:9" ht="16.5">
      <c r="A7" s="3064" t="s">
        <v>2855</v>
      </c>
      <c r="B7" s="3064">
        <f>SUM(H14:H23)</f>
        <v>0</v>
      </c>
      <c r="C7" s="3064">
        <f t="shared" si="0"/>
        <v>0</v>
      </c>
      <c r="D7" s="3064">
        <f t="shared" si="1"/>
        <v>0</v>
      </c>
      <c r="E7" s="3065"/>
      <c r="F7" s="3065"/>
    </row>
    <row r="8" spans="1:9" ht="16.5">
      <c r="A8" s="3064" t="s">
        <v>2856</v>
      </c>
      <c r="B8" s="3064">
        <f>SUM(I14:I23)</f>
        <v>0</v>
      </c>
      <c r="C8" s="3064">
        <f t="shared" si="0"/>
        <v>0</v>
      </c>
      <c r="D8" s="3064">
        <f t="shared" si="1"/>
        <v>0</v>
      </c>
      <c r="E8" s="3065"/>
      <c r="F8" s="3065"/>
    </row>
    <row r="9" spans="1:9" ht="16.5">
      <c r="A9" s="3064" t="s">
        <v>2857</v>
      </c>
      <c r="B9" s="3067"/>
      <c r="C9" s="3065"/>
      <c r="D9" s="3065"/>
      <c r="E9" s="3065"/>
      <c r="F9" s="3065"/>
    </row>
    <row r="10" spans="1:9" ht="16.5">
      <c r="A10" s="3064" t="s">
        <v>2858</v>
      </c>
      <c r="B10" s="3067"/>
      <c r="C10" s="3065"/>
      <c r="D10" s="3065"/>
      <c r="E10" s="3065"/>
      <c r="F10" s="3065"/>
    </row>
    <row r="11" spans="1:9" ht="16.5">
      <c r="A11" s="3064" t="s">
        <v>2875</v>
      </c>
      <c r="B11" s="3067"/>
      <c r="C11" s="3065"/>
      <c r="D11" s="3065"/>
      <c r="E11" s="3065"/>
      <c r="F11" s="3065"/>
    </row>
    <row r="12" spans="1:9" ht="16.5">
      <c r="A12" s="3065"/>
      <c r="B12" s="3065"/>
      <c r="C12" s="3065"/>
      <c r="D12" s="3065"/>
      <c r="E12" s="3065"/>
      <c r="F12" s="3065"/>
    </row>
    <row r="13" spans="1:9" ht="33">
      <c r="A13" s="3070" t="s">
        <v>2874</v>
      </c>
      <c r="B13" s="3068" t="s">
        <v>2846</v>
      </c>
      <c r="C13" s="3068" t="s">
        <v>2847</v>
      </c>
      <c r="D13" s="3068" t="s">
        <v>2859</v>
      </c>
      <c r="E13" s="3064" t="s">
        <v>2873</v>
      </c>
      <c r="F13" s="3064" t="s">
        <v>2852</v>
      </c>
      <c r="G13" s="3068" t="s">
        <v>2860</v>
      </c>
      <c r="H13" s="3068" t="s">
        <v>2861</v>
      </c>
      <c r="I13" s="3068" t="s">
        <v>2862</v>
      </c>
    </row>
    <row r="14" spans="1:9" ht="16.5">
      <c r="A14" s="3071" t="s">
        <v>2872</v>
      </c>
      <c r="B14" s="3068">
        <f>结果表!L38</f>
        <v>10000</v>
      </c>
      <c r="C14" s="3068">
        <f>结果表!K38</f>
        <v>2079.0700000000002</v>
      </c>
      <c r="D14" s="3068">
        <f ca="1">结果表!C42</f>
        <v>40128</v>
      </c>
      <c r="E14" s="3068">
        <f ca="1">ROUND(D14*10000/B14,0)</f>
        <v>40128</v>
      </c>
      <c r="F14" s="3068">
        <f ca="1">ROUND(D14*10000/C14,0)</f>
        <v>193009</v>
      </c>
      <c r="G14" s="3068" t="str">
        <f>结果表!C44</f>
        <v>——</v>
      </c>
      <c r="H14" s="3068" t="str">
        <f>结果表!C45</f>
        <v>——</v>
      </c>
      <c r="I14" s="3068" t="str">
        <f>结果表!C46</f>
        <v>——</v>
      </c>
    </row>
    <row r="15" spans="1:9" ht="16.5">
      <c r="A15" s="3071" t="s">
        <v>2863</v>
      </c>
      <c r="B15" s="3072"/>
      <c r="C15" s="3072"/>
      <c r="D15" s="3072"/>
      <c r="E15" s="3068" t="e">
        <f t="shared" ref="E15:E23" si="2">ROUND(D15*10000/B15,0)</f>
        <v>#DIV/0!</v>
      </c>
      <c r="F15" s="3068" t="e">
        <f t="shared" ref="F15:F23" si="3">ROUND(D15*10000/C15,0)</f>
        <v>#DIV/0!</v>
      </c>
      <c r="G15" s="3069"/>
      <c r="H15" s="3069"/>
      <c r="I15" s="3072"/>
    </row>
    <row r="16" spans="1:9" ht="16.5">
      <c r="A16" s="3071" t="s">
        <v>2864</v>
      </c>
      <c r="B16" s="3072"/>
      <c r="C16" s="3072"/>
      <c r="D16" s="3072"/>
      <c r="E16" s="3068" t="e">
        <f t="shared" si="2"/>
        <v>#DIV/0!</v>
      </c>
      <c r="F16" s="3068" t="e">
        <f t="shared" si="3"/>
        <v>#DIV/0!</v>
      </c>
      <c r="G16" s="3069"/>
      <c r="H16" s="3069"/>
      <c r="I16" s="3072"/>
    </row>
    <row r="17" spans="1:9" ht="16.5">
      <c r="A17" s="3071" t="s">
        <v>2865</v>
      </c>
      <c r="B17" s="3072"/>
      <c r="C17" s="3072"/>
      <c r="D17" s="3072"/>
      <c r="E17" s="3068" t="e">
        <f t="shared" si="2"/>
        <v>#DIV/0!</v>
      </c>
      <c r="F17" s="3068" t="e">
        <f t="shared" si="3"/>
        <v>#DIV/0!</v>
      </c>
      <c r="G17" s="3069"/>
      <c r="H17" s="3069"/>
      <c r="I17" s="3072"/>
    </row>
    <row r="18" spans="1:9" ht="16.5">
      <c r="A18" s="3071" t="s">
        <v>2866</v>
      </c>
      <c r="B18" s="3072"/>
      <c r="C18" s="3072"/>
      <c r="D18" s="3072"/>
      <c r="E18" s="3068" t="e">
        <f t="shared" si="2"/>
        <v>#DIV/0!</v>
      </c>
      <c r="F18" s="3068" t="e">
        <f t="shared" si="3"/>
        <v>#DIV/0!</v>
      </c>
      <c r="G18" s="3072"/>
      <c r="H18" s="3072"/>
      <c r="I18" s="3072"/>
    </row>
    <row r="19" spans="1:9" ht="16.5">
      <c r="A19" s="3071" t="s">
        <v>2867</v>
      </c>
      <c r="B19" s="3072"/>
      <c r="C19" s="3072"/>
      <c r="D19" s="3072"/>
      <c r="E19" s="3068" t="e">
        <f t="shared" si="2"/>
        <v>#DIV/0!</v>
      </c>
      <c r="F19" s="3068" t="e">
        <f t="shared" si="3"/>
        <v>#DIV/0!</v>
      </c>
      <c r="G19" s="3072"/>
      <c r="H19" s="3072"/>
      <c r="I19" s="3072"/>
    </row>
    <row r="20" spans="1:9" ht="16.5">
      <c r="A20" s="3071" t="s">
        <v>2868</v>
      </c>
      <c r="B20" s="3072"/>
      <c r="C20" s="3072"/>
      <c r="D20" s="3072"/>
      <c r="E20" s="3068" t="e">
        <f t="shared" si="2"/>
        <v>#DIV/0!</v>
      </c>
      <c r="F20" s="3068" t="e">
        <f t="shared" si="3"/>
        <v>#DIV/0!</v>
      </c>
      <c r="G20" s="3072"/>
      <c r="H20" s="3072"/>
      <c r="I20" s="3072"/>
    </row>
    <row r="21" spans="1:9" ht="16.5">
      <c r="A21" s="3071" t="s">
        <v>2869</v>
      </c>
      <c r="B21" s="3072"/>
      <c r="C21" s="3072"/>
      <c r="D21" s="3072"/>
      <c r="E21" s="3068" t="e">
        <f t="shared" si="2"/>
        <v>#DIV/0!</v>
      </c>
      <c r="F21" s="3068" t="e">
        <f t="shared" si="3"/>
        <v>#DIV/0!</v>
      </c>
      <c r="G21" s="3072"/>
      <c r="H21" s="3072"/>
      <c r="I21" s="3072"/>
    </row>
    <row r="22" spans="1:9" ht="16.5">
      <c r="A22" s="3071" t="s">
        <v>2870</v>
      </c>
      <c r="B22" s="3072"/>
      <c r="C22" s="3072"/>
      <c r="D22" s="3072"/>
      <c r="E22" s="3068" t="e">
        <f t="shared" si="2"/>
        <v>#DIV/0!</v>
      </c>
      <c r="F22" s="3068" t="e">
        <f t="shared" si="3"/>
        <v>#DIV/0!</v>
      </c>
      <c r="G22" s="3072"/>
      <c r="H22" s="3072"/>
      <c r="I22" s="3072"/>
    </row>
    <row r="23" spans="1:9" ht="16.5">
      <c r="A23" s="3071" t="s">
        <v>2871</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4" t="s">
        <v>2058</v>
      </c>
      <c r="B1" s="1775"/>
      <c r="C1" s="1803" t="s">
        <v>2059</v>
      </c>
      <c r="D1" s="1804" t="s">
        <v>3048</v>
      </c>
      <c r="E1" s="1803" t="s">
        <v>2060</v>
      </c>
      <c r="F1" s="1805" t="s">
        <v>3049</v>
      </c>
      <c r="G1" s="309"/>
      <c r="H1" s="309"/>
      <c r="I1" s="309"/>
      <c r="J1" s="2027"/>
      <c r="K1" s="2027"/>
      <c r="L1" s="2027"/>
      <c r="M1" s="2027"/>
      <c r="N1" s="2027"/>
      <c r="O1" s="2027"/>
      <c r="P1" s="2027"/>
      <c r="Q1" s="2027"/>
      <c r="R1" s="2027"/>
      <c r="S1" s="2027"/>
      <c r="T1" s="2027"/>
      <c r="U1" s="2027"/>
      <c r="V1" s="2027"/>
    </row>
    <row r="2" spans="1:22" ht="21.75" customHeight="1" thickBot="1">
      <c r="A2" s="3458" t="str">
        <f>项目基本情况!K2</f>
        <v>北京市出让国有建设用地使用权</v>
      </c>
      <c r="B2" s="3459"/>
      <c r="C2" s="3460"/>
      <c r="D2" s="3460"/>
      <c r="E2" s="3460"/>
      <c r="F2" s="3460"/>
      <c r="G2" s="3459"/>
      <c r="H2" s="3459"/>
      <c r="I2" s="3461"/>
      <c r="J2" s="2028"/>
      <c r="K2" s="2027"/>
      <c r="L2" s="2027"/>
      <c r="M2" s="2027"/>
      <c r="N2" s="2027"/>
      <c r="O2" s="2027"/>
      <c r="P2" s="2027"/>
      <c r="Q2" s="2027"/>
      <c r="R2" s="2027"/>
      <c r="S2" s="2027"/>
      <c r="T2" s="2027"/>
      <c r="U2" s="2027"/>
      <c r="V2" s="2027"/>
    </row>
    <row r="3" spans="1:22" ht="14.25">
      <c r="A3" s="3451" t="s">
        <v>298</v>
      </c>
      <c r="B3" s="3452"/>
      <c r="C3" s="3452"/>
      <c r="D3" s="3452"/>
      <c r="E3" s="3452"/>
      <c r="F3" s="3452"/>
      <c r="G3" s="3452"/>
      <c r="H3" s="3452"/>
      <c r="I3" s="3452"/>
      <c r="J3" s="2028"/>
      <c r="K3" s="2027"/>
      <c r="L3" s="2027"/>
      <c r="M3" s="2027"/>
      <c r="N3" s="2027"/>
      <c r="O3" s="2027"/>
      <c r="P3" s="2027"/>
      <c r="Q3" s="2027"/>
      <c r="R3" s="2027"/>
      <c r="S3" s="2027"/>
      <c r="T3" s="2027"/>
      <c r="U3" s="2027"/>
      <c r="V3" s="2027"/>
    </row>
    <row r="4" spans="1:22" ht="14.25">
      <c r="A4" s="256" t="s">
        <v>299</v>
      </c>
      <c r="B4" s="257" t="s">
        <v>300</v>
      </c>
      <c r="C4" s="258" t="s">
        <v>3111</v>
      </c>
      <c r="D4" s="258" t="s">
        <v>2953</v>
      </c>
      <c r="E4" s="3423" t="s">
        <v>301</v>
      </c>
      <c r="F4" s="3424"/>
      <c r="G4" s="3424"/>
      <c r="H4" s="3424"/>
      <c r="I4" s="3453"/>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22" t="s">
        <v>302</v>
      </c>
      <c r="B5" s="3448">
        <v>25</v>
      </c>
      <c r="C5" s="3446">
        <v>5</v>
      </c>
      <c r="D5" s="3450">
        <v>5</v>
      </c>
      <c r="E5" s="259" t="s">
        <v>303</v>
      </c>
      <c r="F5" s="260"/>
      <c r="G5" s="260"/>
      <c r="H5" s="260"/>
      <c r="I5" s="261"/>
      <c r="J5" s="2028"/>
      <c r="K5" s="2027"/>
      <c r="L5" s="2027"/>
      <c r="M5" s="2027"/>
      <c r="N5" s="2027"/>
      <c r="O5" s="2027"/>
      <c r="P5" s="2027"/>
      <c r="Q5" s="2027"/>
      <c r="R5" s="2027"/>
      <c r="S5" s="2027"/>
      <c r="T5" s="2027"/>
      <c r="U5" s="2027"/>
      <c r="V5" s="2027"/>
    </row>
    <row r="6" spans="1:22" ht="14.25">
      <c r="A6" s="3422"/>
      <c r="B6" s="3448"/>
      <c r="C6" s="3449"/>
      <c r="D6" s="3450"/>
      <c r="E6" s="259" t="s">
        <v>304</v>
      </c>
      <c r="F6" s="260"/>
      <c r="G6" s="260"/>
      <c r="H6" s="260"/>
      <c r="I6" s="261"/>
      <c r="J6" s="2028"/>
      <c r="K6" s="2027"/>
      <c r="L6" s="2027"/>
      <c r="M6" s="2027"/>
      <c r="N6" s="2027"/>
      <c r="O6" s="2027"/>
      <c r="P6" s="2027"/>
      <c r="Q6" s="2027"/>
      <c r="R6" s="2027"/>
      <c r="S6" s="2027"/>
      <c r="T6" s="2027"/>
      <c r="U6" s="2027"/>
      <c r="V6" s="2027"/>
    </row>
    <row r="7" spans="1:22" ht="14.25">
      <c r="A7" s="3422"/>
      <c r="B7" s="3448"/>
      <c r="C7" s="3447"/>
      <c r="D7" s="3450"/>
      <c r="E7" s="259" t="s">
        <v>305</v>
      </c>
      <c r="F7" s="260"/>
      <c r="G7" s="260"/>
      <c r="H7" s="260"/>
      <c r="I7" s="261"/>
      <c r="J7" s="2028"/>
      <c r="K7" s="2027"/>
      <c r="L7" s="2027"/>
      <c r="M7" s="2027"/>
      <c r="N7" s="2027"/>
      <c r="O7" s="2027"/>
      <c r="P7" s="2027"/>
      <c r="Q7" s="2027"/>
      <c r="R7" s="2027"/>
      <c r="S7" s="2027"/>
      <c r="T7" s="2027"/>
      <c r="U7" s="2027"/>
      <c r="V7" s="2027"/>
    </row>
    <row r="8" spans="1:22" ht="14.25">
      <c r="A8" s="3422" t="s">
        <v>306</v>
      </c>
      <c r="B8" s="3448">
        <v>15</v>
      </c>
      <c r="C8" s="3446"/>
      <c r="D8" s="3450"/>
      <c r="E8" s="259" t="s">
        <v>307</v>
      </c>
      <c r="F8" s="260"/>
      <c r="G8" s="260"/>
      <c r="H8" s="260"/>
      <c r="I8" s="261"/>
      <c r="J8" s="2028"/>
      <c r="K8" s="2027"/>
      <c r="L8" s="2027"/>
      <c r="M8" s="2027"/>
      <c r="N8" s="2027"/>
      <c r="O8" s="2027"/>
      <c r="P8" s="2027"/>
      <c r="Q8" s="2027"/>
      <c r="R8" s="2027"/>
      <c r="S8" s="2027"/>
      <c r="T8" s="2027"/>
      <c r="U8" s="2027"/>
      <c r="V8" s="2027"/>
    </row>
    <row r="9" spans="1:22" ht="14.25">
      <c r="A9" s="3422"/>
      <c r="B9" s="3448"/>
      <c r="C9" s="3447"/>
      <c r="D9" s="3450"/>
      <c r="E9" s="259" t="s">
        <v>308</v>
      </c>
      <c r="F9" s="260"/>
      <c r="G9" s="260"/>
      <c r="H9" s="260"/>
      <c r="I9" s="261"/>
      <c r="J9" s="2028"/>
      <c r="K9" s="2027"/>
      <c r="L9" s="2027"/>
      <c r="M9" s="2027"/>
      <c r="N9" s="2027"/>
      <c r="O9" s="2027"/>
      <c r="P9" s="2027"/>
      <c r="Q9" s="2027"/>
      <c r="R9" s="2027"/>
      <c r="S9" s="2027"/>
      <c r="T9" s="2027"/>
      <c r="U9" s="2027"/>
      <c r="V9" s="2027"/>
    </row>
    <row r="10" spans="1:22" ht="14.25">
      <c r="A10" s="3422" t="s">
        <v>309</v>
      </c>
      <c r="B10" s="3448">
        <v>15</v>
      </c>
      <c r="C10" s="3446"/>
      <c r="D10" s="3450"/>
      <c r="E10" s="259" t="s">
        <v>310</v>
      </c>
      <c r="F10" s="260"/>
      <c r="G10" s="260"/>
      <c r="H10" s="260"/>
      <c r="I10" s="261"/>
      <c r="J10" s="2028"/>
      <c r="K10" s="2027"/>
      <c r="L10" s="2027"/>
      <c r="M10" s="2027"/>
      <c r="N10" s="2027"/>
      <c r="O10" s="2027"/>
      <c r="P10" s="2027"/>
      <c r="Q10" s="2027"/>
      <c r="R10" s="2027"/>
      <c r="S10" s="2027"/>
      <c r="T10" s="2027"/>
      <c r="U10" s="2027"/>
      <c r="V10" s="2027"/>
    </row>
    <row r="11" spans="1:22" ht="14.25">
      <c r="A11" s="3422"/>
      <c r="B11" s="3448"/>
      <c r="C11" s="3447"/>
      <c r="D11" s="3450"/>
      <c r="E11" s="259" t="s">
        <v>311</v>
      </c>
      <c r="F11" s="260"/>
      <c r="G11" s="260"/>
      <c r="H11" s="260"/>
      <c r="I11" s="261"/>
      <c r="J11" s="2028"/>
      <c r="K11" s="2027"/>
      <c r="L11" s="2027"/>
      <c r="M11" s="2027"/>
      <c r="N11" s="2027"/>
      <c r="O11" s="2027"/>
      <c r="P11" s="2027"/>
      <c r="Q11" s="2027"/>
      <c r="R11" s="2027"/>
      <c r="S11" s="2027"/>
      <c r="T11" s="2027"/>
      <c r="U11" s="2027"/>
      <c r="V11" s="2027"/>
    </row>
    <row r="12" spans="1:22" ht="14.25">
      <c r="A12" s="3422" t="s">
        <v>312</v>
      </c>
      <c r="B12" s="3448">
        <v>15</v>
      </c>
      <c r="C12" s="3446"/>
      <c r="D12" s="3450"/>
      <c r="E12" s="259" t="s">
        <v>313</v>
      </c>
      <c r="F12" s="260"/>
      <c r="G12" s="260"/>
      <c r="H12" s="260"/>
      <c r="I12" s="261"/>
      <c r="J12" s="2028"/>
      <c r="K12" s="2027"/>
      <c r="L12" s="2027"/>
      <c r="M12" s="2027"/>
      <c r="N12" s="2027"/>
      <c r="O12" s="2027"/>
      <c r="P12" s="2027"/>
      <c r="Q12" s="2027"/>
      <c r="R12" s="2027"/>
      <c r="S12" s="2027"/>
      <c r="T12" s="2027"/>
      <c r="U12" s="2027"/>
      <c r="V12" s="2027"/>
    </row>
    <row r="13" spans="1:22" ht="14.25">
      <c r="A13" s="3422"/>
      <c r="B13" s="3448"/>
      <c r="C13" s="3447"/>
      <c r="D13" s="3450"/>
      <c r="E13" s="259" t="s">
        <v>314</v>
      </c>
      <c r="F13" s="260"/>
      <c r="G13" s="260"/>
      <c r="H13" s="260"/>
      <c r="I13" s="261"/>
      <c r="J13" s="2028"/>
      <c r="K13" s="2027"/>
      <c r="L13" s="2027"/>
      <c r="M13" s="2027"/>
      <c r="N13" s="2027"/>
      <c r="O13" s="2027"/>
      <c r="P13" s="2027"/>
      <c r="Q13" s="2027"/>
      <c r="R13" s="2027"/>
      <c r="S13" s="2027"/>
      <c r="T13" s="2027"/>
      <c r="U13" s="2027"/>
      <c r="V13" s="2027"/>
    </row>
    <row r="14" spans="1:22" ht="14.25">
      <c r="A14" s="3422" t="s">
        <v>315</v>
      </c>
      <c r="B14" s="3448">
        <v>30</v>
      </c>
      <c r="C14" s="3446"/>
      <c r="D14" s="3450"/>
      <c r="E14" s="259" t="s">
        <v>316</v>
      </c>
      <c r="F14" s="260"/>
      <c r="G14" s="260"/>
      <c r="H14" s="260"/>
      <c r="I14" s="261"/>
      <c r="J14" s="2028"/>
      <c r="K14" s="2027"/>
      <c r="L14" s="2027"/>
      <c r="M14" s="2027"/>
      <c r="N14" s="2027"/>
      <c r="O14" s="2027"/>
      <c r="P14" s="2027"/>
      <c r="Q14" s="2027"/>
      <c r="R14" s="2027"/>
      <c r="S14" s="2027"/>
      <c r="T14" s="2027"/>
      <c r="U14" s="2027"/>
      <c r="V14" s="2027"/>
    </row>
    <row r="15" spans="1:22" ht="14.25">
      <c r="A15" s="3422"/>
      <c r="B15" s="3448"/>
      <c r="C15" s="3449"/>
      <c r="D15" s="3450"/>
      <c r="E15" s="259" t="s">
        <v>317</v>
      </c>
      <c r="F15" s="260"/>
      <c r="G15" s="260"/>
      <c r="H15" s="260"/>
      <c r="I15" s="261"/>
      <c r="J15" s="2028"/>
      <c r="K15" s="2027"/>
      <c r="L15" s="2027"/>
      <c r="M15" s="2027"/>
      <c r="N15" s="2027"/>
      <c r="O15" s="2027"/>
      <c r="P15" s="2027"/>
      <c r="Q15" s="2027"/>
      <c r="R15" s="2027"/>
      <c r="S15" s="2027"/>
      <c r="T15" s="2027"/>
      <c r="U15" s="2027"/>
      <c r="V15" s="2027"/>
    </row>
    <row r="16" spans="1:22" ht="14.25">
      <c r="A16" s="3422"/>
      <c r="B16" s="3448"/>
      <c r="C16" s="3447"/>
      <c r="D16" s="3450"/>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2"/>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320</v>
      </c>
      <c r="B18" s="103"/>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43494</v>
      </c>
      <c r="D19" s="269">
        <f ca="1">SUMIF(INDIRECT("'"&amp;D4&amp;"'"&amp;"!A:A"),结果表!B19,INDIRECT("'"&amp;D4&amp;"'"&amp;"!B:B"))</f>
        <v>36761</v>
      </c>
      <c r="E19" s="266" t="s">
        <v>323</v>
      </c>
      <c r="F19" s="267" t="s">
        <v>322</v>
      </c>
      <c r="G19" s="270">
        <f ca="1">ROUND(C19*$C$18+D19*$D$18,0)</f>
        <v>40128</v>
      </c>
      <c r="H19" s="271" t="s">
        <v>324</v>
      </c>
      <c r="I19" s="309"/>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43494</v>
      </c>
      <c r="D20" s="275">
        <f ca="1">SUMIF(INDIRECT("'"&amp;D4&amp;"'"&amp;"!A:A"),结果表!B20,INDIRECT("'"&amp;D4&amp;"'"&amp;"!B:B"))</f>
        <v>36761</v>
      </c>
      <c r="E20" s="272"/>
      <c r="F20" s="273" t="s">
        <v>325</v>
      </c>
      <c r="G20" s="276">
        <f ca="1">ROUND(C20*$C$18+D20*$D$18,0)</f>
        <v>40128</v>
      </c>
      <c r="H20" s="277" t="s">
        <v>326</v>
      </c>
      <c r="I20" s="309"/>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209199</v>
      </c>
      <c r="D21" s="149">
        <f ca="1">SUMIF(INDIRECT("'"&amp;D4&amp;"'"&amp;"!A:A"),结果表!B21,INDIRECT("'"&amp;D4&amp;"'"&amp;"!B:B"))</f>
        <v>176815</v>
      </c>
      <c r="E21" s="272"/>
      <c r="F21" s="278" t="s">
        <v>327</v>
      </c>
      <c r="G21" s="280">
        <f ca="1">ROUND(C21*$C$18+D21*$D$18,0)</f>
        <v>193007</v>
      </c>
      <c r="H21" s="1248" t="s">
        <v>326</v>
      </c>
      <c r="I21" s="309"/>
      <c r="J21" s="2027"/>
      <c r="K21" s="2027"/>
      <c r="L21" s="2027"/>
      <c r="M21" s="2027"/>
      <c r="N21" s="2027"/>
      <c r="O21" s="2027"/>
      <c r="P21" s="2027"/>
      <c r="Q21" s="2027"/>
      <c r="R21" s="2027"/>
      <c r="S21" s="2027"/>
      <c r="T21" s="2027"/>
      <c r="U21" s="2027"/>
      <c r="V21" s="2027"/>
    </row>
    <row r="22" spans="1:26" ht="15.75" thickBot="1">
      <c r="A22" s="124" t="s">
        <v>328</v>
      </c>
      <c r="B22" s="1249"/>
      <c r="C22" s="1250"/>
      <c r="D22" s="281">
        <f ca="1">IF(C19&lt;D19,D19/C19-1,C19/D19-1)</f>
        <v>0.18315606213106284</v>
      </c>
      <c r="E22" s="282"/>
      <c r="F22" s="283"/>
      <c r="G22" s="284">
        <f ca="1">ROUND(G19/('数据-汇总表'!D3/666.67),0)</f>
        <v>12867</v>
      </c>
      <c r="H22" s="285" t="s">
        <v>329</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428" t="s">
        <v>330</v>
      </c>
      <c r="B24" s="267" t="s">
        <v>322</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429"/>
      <c r="B25" s="1318" t="s">
        <v>331</v>
      </c>
      <c r="C25" s="288">
        <f>IF(B30=0,0,C30)</f>
        <v>0</v>
      </c>
      <c r="D25" s="289"/>
      <c r="E25" s="309"/>
      <c r="F25" s="309"/>
      <c r="G25" s="309"/>
      <c r="H25" s="309"/>
      <c r="I25" s="309"/>
      <c r="J25" s="2027"/>
      <c r="K25" s="1252" t="str">
        <f ca="1">项目基本情况!B16&amp;"国有建设用地使用权价格："&amp;O38&amp;"万元"</f>
        <v>出让国有建设用地使用权价格：40128万元</v>
      </c>
      <c r="L25" s="1253"/>
      <c r="M25" s="1253"/>
      <c r="N25" s="1253"/>
      <c r="O25" s="1254"/>
      <c r="P25" s="2027"/>
      <c r="Q25" s="2027"/>
      <c r="R25" s="2027"/>
      <c r="S25" s="2027"/>
      <c r="T25" s="2027"/>
      <c r="U25" s="2027"/>
      <c r="V25" s="2027"/>
    </row>
    <row r="26" spans="1:26" s="1251" customFormat="1" ht="18">
      <c r="A26" s="291" t="s">
        <v>332</v>
      </c>
      <c r="B26" s="292" t="s">
        <v>333</v>
      </c>
      <c r="C26" s="292" t="s">
        <v>334</v>
      </c>
      <c r="D26" s="293" t="s">
        <v>335</v>
      </c>
      <c r="E26" s="309"/>
      <c r="F26" s="309"/>
      <c r="G26" s="309"/>
      <c r="H26" s="309"/>
      <c r="I26" s="309"/>
      <c r="J26" s="2027"/>
      <c r="K26" s="1255" t="str">
        <f ca="1">"大写金额：人民币"&amp;NUMBERSTRING(INT(O38*10000),2)&amp;"元整"</f>
        <v>大写金额：人民币肆亿零壹佰贰拾捌万元整</v>
      </c>
      <c r="L26" s="1249"/>
      <c r="M26" s="1249"/>
      <c r="N26" s="1249"/>
      <c r="O26" s="1248"/>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5" t="str">
        <f ca="1">"单位面积地价："&amp;M38&amp;"元/平方米"</f>
        <v>单位面积地价：193009元/平方米</v>
      </c>
      <c r="L27" s="1249"/>
      <c r="M27" s="1249"/>
      <c r="N27" s="1249"/>
      <c r="O27" s="1248"/>
      <c r="P27" s="2027"/>
      <c r="Q27" s="2027"/>
      <c r="R27" s="2027"/>
      <c r="S27" s="2027"/>
      <c r="T27" s="2027"/>
      <c r="U27" s="2027"/>
      <c r="V27" s="2027"/>
    </row>
    <row r="28" spans="1:26" ht="18.75" customHeight="1">
      <c r="A28" s="291"/>
      <c r="B28" s="292"/>
      <c r="C28" s="292"/>
      <c r="D28" s="293"/>
      <c r="E28" s="309"/>
      <c r="F28" s="309"/>
      <c r="G28" s="309"/>
      <c r="H28" s="309"/>
      <c r="I28" s="309"/>
      <c r="J28" s="2027"/>
      <c r="K28" s="1255" t="str">
        <f ca="1">"楼面地价："&amp;N38&amp;"元/平方米"</f>
        <v>楼面地价：40128元/平方米</v>
      </c>
      <c r="L28" s="1249"/>
      <c r="M28" s="1249"/>
      <c r="N28" s="1249"/>
      <c r="O28" s="1248"/>
      <c r="P28" s="2027"/>
      <c r="V28" s="2027"/>
    </row>
    <row r="29" spans="1:26" ht="18">
      <c r="A29" s="291"/>
      <c r="B29" s="292"/>
      <c r="C29" s="292"/>
      <c r="D29" s="293"/>
      <c r="E29" s="309"/>
      <c r="F29" s="309"/>
      <c r="G29" s="309"/>
      <c r="H29" s="309"/>
      <c r="I29" s="309"/>
      <c r="J29" s="2027"/>
      <c r="K29" s="1255" t="str">
        <f>IF(OR(项目基本情况!E8="抵押价格",项目基本情况!E8="已注销及未注销"),"抵押价格："&amp;O39&amp;"万元","——")</f>
        <v>——</v>
      </c>
      <c r="L29" s="1249"/>
      <c r="M29" s="1249"/>
      <c r="N29" s="1249"/>
      <c r="O29" s="1248"/>
      <c r="P29" s="2027"/>
      <c r="V29" s="2027"/>
    </row>
    <row r="30" spans="1:26" ht="18.75" thickBot="1">
      <c r="A30" s="3147" t="s">
        <v>336</v>
      </c>
      <c r="B30" s="307"/>
      <c r="C30" s="307"/>
      <c r="D30" s="308"/>
      <c r="E30" s="3148" t="s">
        <v>2970</v>
      </c>
      <c r="F30" s="309"/>
      <c r="G30" s="309"/>
      <c r="H30" s="309"/>
      <c r="I30" s="309"/>
      <c r="J30" s="2027"/>
      <c r="K30" s="1255" t="str">
        <f>IF(K29="——","——","大写金额：人民币"&amp;NUMBERSTRING(INT(O39*10000),2)&amp;"元整")</f>
        <v>——</v>
      </c>
      <c r="L30" s="1249"/>
      <c r="M30" s="1249"/>
      <c r="N30" s="1249"/>
      <c r="O30" s="1248"/>
      <c r="P30" s="2027"/>
      <c r="V30" s="2027"/>
    </row>
    <row r="31" spans="1:26" ht="24" customHeight="1" thickBot="1">
      <c r="A31" s="309"/>
      <c r="B31" s="309"/>
      <c r="C31" s="309"/>
      <c r="D31" s="309"/>
      <c r="E31" s="309"/>
      <c r="F31" s="309"/>
      <c r="G31" s="309"/>
      <c r="H31" s="309"/>
      <c r="I31" s="309"/>
      <c r="J31" s="2027"/>
      <c r="K31" s="2489" t="str">
        <f>IF(项目基本情况!E8="抵押价格","——","抵押担保权已注销时的抵押价格："&amp;O40&amp;"万元")</f>
        <v>抵押担保权已注销时的抵押价格：——万元</v>
      </c>
      <c r="L31" s="2485"/>
      <c r="M31" s="2485"/>
      <c r="N31" s="2485"/>
      <c r="O31" s="2486"/>
      <c r="P31" s="2027"/>
      <c r="V31" s="2027"/>
    </row>
    <row r="32" spans="1:26" ht="18.75" thickBot="1">
      <c r="A32" s="266" t="s">
        <v>337</v>
      </c>
      <c r="B32" s="1379" t="s">
        <v>1689</v>
      </c>
      <c r="C32" s="1380">
        <f ca="1">G19-C24</f>
        <v>40128</v>
      </c>
      <c r="D32" s="1381" t="s">
        <v>1690</v>
      </c>
      <c r="E32" s="309"/>
      <c r="F32" s="309"/>
      <c r="G32" s="309"/>
      <c r="H32" s="309"/>
      <c r="I32" s="309"/>
      <c r="J32" s="2027"/>
      <c r="K32" s="2484" t="e">
        <f>IF(K31="——","——","大写金额：人民币"&amp;NUMBERSTRING(INT(O40*10000),2)&amp;"元整")</f>
        <v>#VALUE!</v>
      </c>
      <c r="L32" s="2487"/>
      <c r="M32" s="2487"/>
      <c r="N32" s="2487"/>
      <c r="O32" s="2488"/>
      <c r="P32" s="2027"/>
      <c r="V32" s="2027"/>
    </row>
    <row r="33" spans="1:26" ht="18.75" thickBot="1">
      <c r="A33" s="296" t="s">
        <v>340</v>
      </c>
      <c r="B33" s="1382" t="s">
        <v>1691</v>
      </c>
      <c r="C33" s="262">
        <f ca="1">ROUND(C32*10000/'数据-汇总表'!E3,0)</f>
        <v>40128</v>
      </c>
      <c r="D33" s="1383" t="s">
        <v>1692</v>
      </c>
      <c r="E33" s="3428" t="s">
        <v>338</v>
      </c>
      <c r="F33" s="294" t="s">
        <v>339</v>
      </c>
      <c r="G33" s="295"/>
      <c r="H33" s="978"/>
      <c r="I33" s="1256"/>
      <c r="J33" s="2027"/>
      <c r="K33" s="1255" t="str">
        <f>IF(项目基本情况!E9="——","——","抵押净值："&amp;C46&amp;"万元")</f>
        <v>抵押净值：——万元</v>
      </c>
      <c r="L33" s="1249"/>
      <c r="M33" s="1249"/>
      <c r="N33" s="1249"/>
      <c r="O33" s="1248"/>
      <c r="P33" s="2027"/>
      <c r="V33" s="2027"/>
    </row>
    <row r="34" spans="1:26" s="1251" customFormat="1" ht="18.75" thickBot="1">
      <c r="A34" s="298"/>
      <c r="B34" s="1384" t="s">
        <v>1693</v>
      </c>
      <c r="C34" s="262">
        <f ca="1">ROUND(C32*10000/'数据-汇总表'!D3,0)</f>
        <v>193009</v>
      </c>
      <c r="D34" s="1385" t="s">
        <v>1692</v>
      </c>
      <c r="E34" s="3469"/>
      <c r="F34" s="125" t="s">
        <v>341</v>
      </c>
      <c r="G34" s="297"/>
      <c r="H34" s="103"/>
      <c r="I34" s="309"/>
      <c r="J34" s="2027"/>
      <c r="K34" s="1258" t="e">
        <f>IF(K33="——","——","大写金额：人民币"&amp;NUMBERSTRING(INT(O41*10000),2)&amp;"元整")</f>
        <v>#VALUE!</v>
      </c>
      <c r="L34" s="1259"/>
      <c r="M34" s="1259"/>
      <c r="N34" s="1259"/>
      <c r="O34" s="1260"/>
      <c r="P34" s="2027"/>
      <c r="Q34" s="290"/>
      <c r="R34" s="290"/>
      <c r="S34" s="290"/>
      <c r="T34" s="290"/>
      <c r="U34" s="290"/>
      <c r="V34" s="2027"/>
      <c r="W34" s="290"/>
      <c r="X34" s="290"/>
      <c r="Y34" s="290"/>
      <c r="Z34" s="290"/>
    </row>
    <row r="35" spans="1:26" ht="15.75" thickBot="1">
      <c r="A35" s="282"/>
      <c r="B35" s="1386"/>
      <c r="C35" s="1387">
        <f ca="1">ROUND(C32/('数据-汇总表'!D3/666.67),0)</f>
        <v>12867</v>
      </c>
      <c r="D35" s="1388" t="s">
        <v>1694</v>
      </c>
      <c r="E35" s="3470"/>
      <c r="F35" s="299" t="s">
        <v>342</v>
      </c>
      <c r="G35" s="980"/>
      <c r="H35" s="979" t="s">
        <v>343</v>
      </c>
      <c r="I35" s="309"/>
      <c r="J35" s="2027"/>
      <c r="K35" s="3443" t="s">
        <v>350</v>
      </c>
      <c r="L35" s="3443" t="s">
        <v>351</v>
      </c>
      <c r="M35" s="1261" t="s">
        <v>352</v>
      </c>
      <c r="N35" s="3443" t="s">
        <v>353</v>
      </c>
      <c r="O35" s="3443" t="s">
        <v>354</v>
      </c>
      <c r="P35" s="2027"/>
      <c r="V35" s="2027"/>
    </row>
    <row r="36" spans="1:26" ht="16.5" customHeight="1">
      <c r="A36" s="301" t="s">
        <v>344</v>
      </c>
      <c r="B36" s="302" t="s">
        <v>333</v>
      </c>
      <c r="C36" s="303" t="s">
        <v>345</v>
      </c>
      <c r="D36" s="303" t="s">
        <v>346</v>
      </c>
      <c r="E36" s="304" t="s">
        <v>347</v>
      </c>
      <c r="F36" s="309"/>
      <c r="G36" s="309"/>
      <c r="H36" s="309"/>
      <c r="I36" s="309"/>
      <c r="J36" s="2029"/>
      <c r="K36" s="3444"/>
      <c r="L36" s="3444"/>
      <c r="M36" s="1263" t="s">
        <v>355</v>
      </c>
      <c r="N36" s="3444"/>
      <c r="O36" s="3444"/>
      <c r="P36" s="2027"/>
      <c r="V36" s="2027"/>
    </row>
    <row r="37" spans="1:26" ht="16.5" customHeight="1" thickBot="1">
      <c r="A37" s="1257" t="s">
        <v>348</v>
      </c>
      <c r="B37" s="305"/>
      <c r="C37" s="292"/>
      <c r="D37" s="292"/>
      <c r="E37" s="293"/>
      <c r="F37" s="309"/>
      <c r="G37" s="309"/>
      <c r="H37" s="309"/>
      <c r="I37" s="309"/>
      <c r="J37" s="2029"/>
      <c r="K37" s="3445"/>
      <c r="L37" s="3445"/>
      <c r="M37" s="1264"/>
      <c r="N37" s="3445"/>
      <c r="O37" s="3445"/>
      <c r="P37" s="2027"/>
      <c r="V37" s="2027"/>
    </row>
    <row r="38" spans="1:26" ht="16.5" customHeight="1" thickBot="1">
      <c r="A38" s="1257" t="s">
        <v>349</v>
      </c>
      <c r="B38" s="305"/>
      <c r="C38" s="292"/>
      <c r="D38" s="292"/>
      <c r="E38" s="293"/>
      <c r="F38" s="309"/>
      <c r="G38" s="309"/>
      <c r="H38" s="309"/>
      <c r="I38" s="309"/>
      <c r="J38" s="2029"/>
      <c r="K38" s="1265">
        <f>'数据-汇总表'!D3</f>
        <v>2079.0700000000002</v>
      </c>
      <c r="L38" s="1266">
        <f>'数据-汇总表'!E3</f>
        <v>10000</v>
      </c>
      <c r="M38" s="1266">
        <f ca="1">C34</f>
        <v>193009</v>
      </c>
      <c r="N38" s="1266">
        <f ca="1">C33</f>
        <v>40128</v>
      </c>
      <c r="O38" s="1267">
        <f ca="1">C32</f>
        <v>40128</v>
      </c>
      <c r="P38" s="2027"/>
      <c r="V38" s="2027"/>
    </row>
    <row r="39" spans="1:26" ht="16.5" customHeight="1" thickBot="1">
      <c r="A39" s="1262"/>
      <c r="B39" s="306"/>
      <c r="C39" s="307"/>
      <c r="D39" s="307"/>
      <c r="E39" s="308"/>
      <c r="F39" s="309"/>
      <c r="G39" s="309"/>
      <c r="H39" s="309"/>
      <c r="I39" s="309"/>
      <c r="J39" s="2029"/>
      <c r="K39" s="3488" t="str">
        <f>MID(A44,3,LEN(A44)-2)</f>
        <v/>
      </c>
      <c r="L39" s="3489"/>
      <c r="M39" s="3489"/>
      <c r="N39" s="3490"/>
      <c r="O39" s="1390" t="str">
        <f>C44</f>
        <v>——</v>
      </c>
      <c r="P39" s="2027"/>
      <c r="V39" s="2027"/>
    </row>
    <row r="40" spans="1:26" ht="19.5" thickBot="1">
      <c r="A40" s="102" t="s">
        <v>873</v>
      </c>
      <c r="B40" s="309"/>
      <c r="C40" s="309"/>
      <c r="D40" s="309"/>
      <c r="E40" s="309"/>
      <c r="F40" s="309"/>
      <c r="G40" s="309"/>
      <c r="H40" s="309"/>
      <c r="I40" s="309"/>
      <c r="J40" s="2029"/>
      <c r="K40" s="3488" t="str">
        <f t="shared" ref="K40:K41" si="0">MID(A45,3,LEN(A45)-2)</f>
        <v/>
      </c>
      <c r="L40" s="3489"/>
      <c r="M40" s="3489"/>
      <c r="N40" s="3490"/>
      <c r="O40" s="1390" t="str">
        <f>C45</f>
        <v>——</v>
      </c>
      <c r="P40" s="2027"/>
      <c r="V40" s="2027"/>
    </row>
    <row r="41" spans="1:26" ht="16.5" thickBot="1">
      <c r="A41" s="310" t="s">
        <v>356</v>
      </c>
      <c r="B41" s="311"/>
      <c r="C41" s="312" t="s">
        <v>357</v>
      </c>
      <c r="D41" s="313" t="s">
        <v>358</v>
      </c>
      <c r="E41" s="313" t="s">
        <v>359</v>
      </c>
      <c r="F41" s="314" t="s">
        <v>360</v>
      </c>
      <c r="G41" s="309"/>
      <c r="H41" s="309"/>
      <c r="I41" s="309"/>
      <c r="J41" s="2029"/>
      <c r="K41" s="3488" t="str">
        <f t="shared" si="0"/>
        <v/>
      </c>
      <c r="L41" s="3489"/>
      <c r="M41" s="3489"/>
      <c r="N41" s="3490"/>
      <c r="O41" s="1390" t="str">
        <f>C46</f>
        <v>——</v>
      </c>
      <c r="P41" s="2027"/>
      <c r="V41" s="2027"/>
    </row>
    <row r="42" spans="1:26" ht="29.25">
      <c r="A42" s="3430" t="s">
        <v>2070</v>
      </c>
      <c r="B42" s="3431"/>
      <c r="C42" s="262">
        <f ca="1">C32</f>
        <v>40128</v>
      </c>
      <c r="D42" s="315">
        <f ca="1">C33</f>
        <v>40128</v>
      </c>
      <c r="E42" s="315">
        <f ca="1">C34</f>
        <v>193009</v>
      </c>
      <c r="F42" s="316">
        <f ca="1">C35</f>
        <v>12867</v>
      </c>
      <c r="G42" s="309"/>
      <c r="H42" s="309"/>
      <c r="I42" s="317"/>
      <c r="J42" s="2029"/>
      <c r="K42" s="1268" t="s">
        <v>361</v>
      </c>
      <c r="L42" s="2046" t="s">
        <v>362</v>
      </c>
      <c r="M42" s="1269" t="s">
        <v>363</v>
      </c>
      <c r="N42" s="2047" t="s">
        <v>364</v>
      </c>
      <c r="O42" s="2048" t="s">
        <v>365</v>
      </c>
      <c r="P42" s="2027"/>
      <c r="V42" s="2027"/>
    </row>
    <row r="43" spans="1:26" ht="30">
      <c r="A43" s="3441" t="s">
        <v>2734</v>
      </c>
      <c r="B43" s="3442"/>
      <c r="C43" s="262">
        <f>IF(H33="正常操作",G33+G34+G35,G34+G35)</f>
        <v>0</v>
      </c>
      <c r="D43" s="315" t="s">
        <v>43</v>
      </c>
      <c r="E43" s="315" t="s">
        <v>44</v>
      </c>
      <c r="F43" s="316" t="s">
        <v>44</v>
      </c>
      <c r="G43" s="2885" t="s">
        <v>952</v>
      </c>
      <c r="H43" s="309"/>
      <c r="I43" s="317"/>
      <c r="J43" s="2029"/>
      <c r="K43" s="1270" t="str">
        <f>C4</f>
        <v>剩余法-待开发</v>
      </c>
      <c r="L43" s="1271">
        <f ca="1">IF(L42="估价结果/万元",C19,C20)</f>
        <v>43494</v>
      </c>
      <c r="M43" s="1272">
        <f>C18</f>
        <v>0.5</v>
      </c>
      <c r="N43" s="1273">
        <f ca="1">IF(N42="测算结果/万元",G19,G20)</f>
        <v>40128</v>
      </c>
      <c r="O43" s="1274">
        <f ca="1">IF(O42="最终结果/万元",C32,C33)</f>
        <v>40128</v>
      </c>
      <c r="P43" s="2027"/>
      <c r="V43" s="2027"/>
    </row>
    <row r="44" spans="1:26" ht="18.75" thickBot="1">
      <c r="A44" s="3430" t="str">
        <f>IF(OR(项目基本情况!E8="抵押价格",项目基本情况!E8="已注销及未注销"),"3.抵押价格","——")</f>
        <v>——</v>
      </c>
      <c r="B44" s="3431"/>
      <c r="C44" s="262" t="str">
        <f>IF(A44="——","——",C42-C43)</f>
        <v>——</v>
      </c>
      <c r="D44" s="315" t="e">
        <f>ROUND(C44*10000/'数据-汇总表'!E3,0)</f>
        <v>#VALUE!</v>
      </c>
      <c r="E44" s="315" t="e">
        <f>ROUND(C44*10000/'数据-汇总表'!D3,0)</f>
        <v>#VALUE!</v>
      </c>
      <c r="F44" s="316" t="e">
        <f>ROUND(C44/('数据-汇总表'!D3/666.67),0)</f>
        <v>#VALUE!</v>
      </c>
      <c r="G44" s="309"/>
      <c r="H44" s="309"/>
      <c r="I44" s="317"/>
      <c r="J44" s="2029"/>
      <c r="K44" s="1275" t="str">
        <f>D4</f>
        <v>基准地价</v>
      </c>
      <c r="L44" s="1276">
        <f ca="1">IF(L42="估价结果/万元",D19,D20)</f>
        <v>36761</v>
      </c>
      <c r="M44" s="1277">
        <f>D18</f>
        <v>0.5</v>
      </c>
      <c r="N44" s="1278"/>
      <c r="O44" s="1279"/>
      <c r="P44" s="2027"/>
      <c r="V44" s="2027"/>
    </row>
    <row r="45" spans="1:26" ht="15">
      <c r="A45" s="3436" t="str">
        <f>IF(项目基本情况!E8="已注销及未注销","4.抵押担保权已注销时的抵押价格",IF(项目基本情况!E8="已注销","3.抵押担保权已注销时的抵押价格","——"))</f>
        <v>——</v>
      </c>
      <c r="B45" s="3437"/>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432" t="str">
        <f>IF(项目基本情况!E9="抵押净值",IF(A45="——","4.抵押净值","5.抵押净值"),"——")</f>
        <v>——</v>
      </c>
      <c r="B46" s="3433"/>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366</v>
      </c>
      <c r="B47" s="1280"/>
      <c r="C47" s="320" t="s">
        <v>367</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368</v>
      </c>
      <c r="G53" s="335"/>
      <c r="H53" s="335"/>
      <c r="I53" s="336" t="s">
        <v>369</v>
      </c>
      <c r="J53" s="2030"/>
      <c r="K53" s="2027"/>
      <c r="L53" s="2027"/>
      <c r="M53" s="2027"/>
      <c r="N53" s="2027"/>
      <c r="O53" s="2027"/>
      <c r="P53" s="2027"/>
      <c r="Q53" s="2027"/>
      <c r="R53" s="2027"/>
      <c r="S53" s="2027"/>
      <c r="T53" s="2027"/>
      <c r="U53" s="2027"/>
      <c r="V53" s="2027"/>
    </row>
    <row r="54" spans="1:22" ht="12.75">
      <c r="A54" s="255"/>
      <c r="B54" s="337"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371</v>
      </c>
      <c r="J56" s="2030"/>
      <c r="K56" s="2027"/>
      <c r="L56" s="2027"/>
      <c r="M56" s="2027"/>
      <c r="N56" s="2027"/>
      <c r="O56" s="2027"/>
      <c r="P56" s="2027"/>
      <c r="Q56" s="2027"/>
      <c r="R56" s="2027"/>
      <c r="S56" s="2027"/>
      <c r="T56" s="2027"/>
      <c r="U56" s="2027"/>
      <c r="V56" s="2027"/>
    </row>
    <row r="57" spans="1:22" ht="12.75">
      <c r="A57" s="255"/>
      <c r="B57" s="337"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371</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77" t="s">
        <v>374</v>
      </c>
      <c r="B63" s="3478"/>
      <c r="C63" s="3479"/>
      <c r="D63" s="339">
        <f ca="1">ROUND(C42*F63,0)</f>
        <v>24077</v>
      </c>
      <c r="E63" s="300" t="s">
        <v>375</v>
      </c>
      <c r="F63" s="340">
        <v>0.6</v>
      </c>
      <c r="G63" s="341" t="s">
        <v>376</v>
      </c>
      <c r="H63" s="309"/>
      <c r="I63" s="309"/>
      <c r="J63" s="2027"/>
      <c r="K63" s="2027"/>
      <c r="L63" s="2027"/>
      <c r="M63" s="2027"/>
      <c r="N63" s="2027"/>
      <c r="O63" s="2027"/>
      <c r="P63" s="309"/>
      <c r="Q63" s="2027"/>
      <c r="R63" s="2027"/>
      <c r="S63" s="2027"/>
      <c r="T63" s="2027"/>
      <c r="U63" s="2027"/>
      <c r="V63" s="2027"/>
    </row>
    <row r="64" spans="1:22" ht="14.25" customHeight="1">
      <c r="A64" s="3438" t="s">
        <v>378</v>
      </c>
      <c r="B64" s="3439"/>
      <c r="C64" s="3439"/>
      <c r="D64" s="3439"/>
      <c r="E64" s="3439"/>
      <c r="F64" s="3439"/>
      <c r="G64" s="3440"/>
      <c r="H64" s="1285"/>
      <c r="I64" s="946"/>
      <c r="J64" s="1989"/>
      <c r="K64" s="1559" t="s">
        <v>377</v>
      </c>
      <c r="L64" s="11"/>
      <c r="M64" s="11"/>
      <c r="N64" s="11"/>
      <c r="O64" s="11"/>
      <c r="P64" s="309"/>
      <c r="Q64" s="2027"/>
      <c r="R64" s="2027"/>
      <c r="S64" s="2027"/>
      <c r="T64" s="2027"/>
      <c r="U64" s="2027"/>
      <c r="V64" s="2027"/>
    </row>
    <row r="65" spans="1:22" ht="12" customHeight="1">
      <c r="A65" s="342" t="s">
        <v>380</v>
      </c>
      <c r="B65" s="343"/>
      <c r="C65" s="344"/>
      <c r="D65" s="345" t="s">
        <v>381</v>
      </c>
      <c r="E65" s="51" t="s">
        <v>382</v>
      </c>
      <c r="F65" s="346" t="s">
        <v>383</v>
      </c>
      <c r="G65" s="347" t="s">
        <v>384</v>
      </c>
      <c r="H65" s="1285"/>
      <c r="I65" s="946"/>
      <c r="J65" s="1989"/>
      <c r="K65" s="1286"/>
      <c r="L65" s="1287"/>
      <c r="M65" s="1287"/>
      <c r="N65" s="1319" t="s">
        <v>379</v>
      </c>
      <c r="O65" s="1320"/>
      <c r="P65" s="1321"/>
      <c r="Q65" s="2027"/>
      <c r="R65" s="2027"/>
      <c r="S65" s="2027"/>
      <c r="T65" s="2027"/>
      <c r="U65" s="2027"/>
      <c r="V65" s="2027"/>
    </row>
    <row r="66" spans="1:22" ht="25.5">
      <c r="A66" s="3434" t="s">
        <v>386</v>
      </c>
      <c r="B66" s="3435"/>
      <c r="C66" s="3435"/>
      <c r="D66" s="259">
        <f ca="1">IF(H66="情况1",0,IF(H66="情况2",D70,IF(H66="情况3",D71,IF(H66="情况4",D72))))</f>
        <v>1284</v>
      </c>
      <c r="E66" s="991" t="str">
        <f>IF(H66="情况4","(销售额-原购置价)×税（费）率","销售额×税（费）率")</f>
        <v>销售额×税（费）率</v>
      </c>
      <c r="F66" s="348">
        <f>IF(H66="情况1","免征",'数据-取费表'!B41)</f>
        <v>5.6000000000000001E-2</v>
      </c>
      <c r="G66" s="349" t="s">
        <v>387</v>
      </c>
      <c r="H66" s="189" t="s">
        <v>388</v>
      </c>
      <c r="I66" s="1285"/>
      <c r="J66" s="2033"/>
      <c r="K66" s="1288">
        <v>1</v>
      </c>
      <c r="L66" s="3492" t="s">
        <v>385</v>
      </c>
      <c r="M66" s="3493"/>
      <c r="N66" s="2479"/>
      <c r="O66" s="2480"/>
      <c r="P66" s="2481"/>
      <c r="Q66" s="2027"/>
      <c r="R66" s="2027"/>
      <c r="S66" s="2027"/>
      <c r="T66" s="2027"/>
      <c r="U66" s="2027"/>
      <c r="V66" s="2027"/>
    </row>
    <row r="67" spans="1:22" ht="25.5" customHeight="1">
      <c r="A67" s="350" t="s">
        <v>390</v>
      </c>
      <c r="B67" s="3425" t="s">
        <v>391</v>
      </c>
      <c r="C67" s="3425"/>
      <c r="D67" s="351">
        <v>0</v>
      </c>
      <c r="E67" s="39" t="s">
        <v>392</v>
      </c>
      <c r="F67" s="60" t="s">
        <v>21</v>
      </c>
      <c r="G67" s="3480"/>
      <c r="H67" s="309"/>
      <c r="I67" s="1289"/>
      <c r="J67" s="2034"/>
      <c r="K67" s="1975">
        <v>2</v>
      </c>
      <c r="L67" s="3491" t="s">
        <v>389</v>
      </c>
      <c r="M67" s="3491"/>
      <c r="N67" s="1322">
        <f>'数据-取费表'!B2</f>
        <v>43382</v>
      </c>
      <c r="O67" s="1322"/>
      <c r="P67" s="1322"/>
      <c r="Q67" s="2027"/>
      <c r="R67" s="2027"/>
      <c r="S67" s="2027"/>
      <c r="T67" s="2027"/>
      <c r="U67" s="2027"/>
      <c r="V67" s="2027"/>
    </row>
    <row r="68" spans="1:22" ht="25.5" customHeight="1">
      <c r="A68" s="352"/>
      <c r="B68" s="3425" t="s">
        <v>394</v>
      </c>
      <c r="C68" s="3425"/>
      <c r="D68" s="353"/>
      <c r="E68" s="75"/>
      <c r="F68" s="354"/>
      <c r="G68" s="3481"/>
      <c r="H68" s="309"/>
      <c r="I68" s="1289"/>
      <c r="J68" s="2034"/>
      <c r="K68" s="1975">
        <v>3</v>
      </c>
      <c r="L68" s="3491" t="s">
        <v>393</v>
      </c>
      <c r="M68" s="3491"/>
      <c r="N68" s="1290">
        <f ca="1">C42</f>
        <v>40128</v>
      </c>
      <c r="O68" s="1290"/>
      <c r="P68" s="1290"/>
      <c r="Q68" s="2027"/>
      <c r="R68" s="2027"/>
      <c r="S68" s="2027"/>
      <c r="T68" s="2027"/>
      <c r="U68" s="2027"/>
      <c r="V68" s="2027"/>
    </row>
    <row r="69" spans="1:22" ht="12" customHeight="1">
      <c r="A69" s="355"/>
      <c r="B69" s="3425" t="s">
        <v>395</v>
      </c>
      <c r="C69" s="3425"/>
      <c r="D69" s="356"/>
      <c r="E69" s="71"/>
      <c r="F69" s="354"/>
      <c r="G69" s="3482"/>
      <c r="H69" s="309"/>
      <c r="I69" s="1289"/>
      <c r="J69" s="2034"/>
      <c r="K69" s="1291">
        <v>4</v>
      </c>
      <c r="L69" s="3496" t="s">
        <v>2885</v>
      </c>
      <c r="M69" s="3497"/>
      <c r="N69" s="1292" t="str">
        <f>C44</f>
        <v>——</v>
      </c>
      <c r="O69" s="1292"/>
      <c r="P69" s="1292"/>
      <c r="Q69" s="2027"/>
      <c r="R69" s="2027"/>
      <c r="S69" s="2027"/>
      <c r="T69" s="2027"/>
      <c r="U69" s="2027"/>
      <c r="V69" s="2027"/>
    </row>
    <row r="70" spans="1:22" ht="24" customHeight="1">
      <c r="A70" s="357" t="s">
        <v>396</v>
      </c>
      <c r="B70" s="3425" t="s">
        <v>397</v>
      </c>
      <c r="C70" s="3425"/>
      <c r="D70" s="356">
        <f ca="1">ROUND(D63*'数据-取费表'!B41/(1+'数据-取费表'!C42),0)</f>
        <v>1284</v>
      </c>
      <c r="E70" s="16" t="s">
        <v>398</v>
      </c>
      <c r="F70" s="358">
        <f>'数据-取费表'!B41</f>
        <v>5.6000000000000001E-2</v>
      </c>
      <c r="G70" s="359"/>
      <c r="H70" s="309"/>
      <c r="I70" s="1289"/>
      <c r="J70" s="2034"/>
      <c r="K70" s="3081"/>
      <c r="L70" s="3082"/>
      <c r="M70" s="3082"/>
      <c r="N70" s="3083" t="s">
        <v>2890</v>
      </c>
      <c r="O70" s="3082"/>
      <c r="P70" s="3084"/>
      <c r="Q70" s="2027"/>
      <c r="R70" s="2027"/>
      <c r="S70" s="2027"/>
      <c r="T70" s="2027"/>
      <c r="U70" s="2027"/>
      <c r="V70" s="2027"/>
    </row>
    <row r="71" spans="1:22" ht="12" customHeight="1">
      <c r="A71" s="357" t="s">
        <v>404</v>
      </c>
      <c r="B71" s="3426" t="s">
        <v>405</v>
      </c>
      <c r="C71" s="3427"/>
      <c r="D71" s="356">
        <f ca="1">ROUND(D63*'数据-取费表'!B41/(1+'数据-取费表'!C42),0)</f>
        <v>1284</v>
      </c>
      <c r="E71" s="16" t="s">
        <v>398</v>
      </c>
      <c r="F71" s="358">
        <f>'数据-取费表'!B41</f>
        <v>5.6000000000000001E-2</v>
      </c>
      <c r="G71" s="359"/>
      <c r="H71" s="309"/>
      <c r="I71" s="1289"/>
      <c r="J71" s="2034"/>
      <c r="K71" s="3080" t="s">
        <v>399</v>
      </c>
      <c r="L71" s="3498" t="s">
        <v>400</v>
      </c>
      <c r="M71" s="3498"/>
      <c r="N71" s="3080" t="s">
        <v>401</v>
      </c>
      <c r="O71" s="3080" t="s">
        <v>402</v>
      </c>
      <c r="P71" s="3080" t="s">
        <v>403</v>
      </c>
      <c r="Q71" s="2027"/>
      <c r="R71" s="2027"/>
      <c r="S71" s="2027"/>
      <c r="T71" s="2027"/>
      <c r="U71" s="2027"/>
      <c r="V71" s="2027"/>
    </row>
    <row r="72" spans="1:22" ht="12" customHeight="1">
      <c r="A72" s="357" t="s">
        <v>407</v>
      </c>
      <c r="B72" s="3426" t="s">
        <v>408</v>
      </c>
      <c r="C72" s="3427"/>
      <c r="D72" s="356">
        <f ca="1">C86</f>
        <v>1172</v>
      </c>
      <c r="E72" s="71" t="s">
        <v>409</v>
      </c>
      <c r="F72" s="358">
        <f>'数据-取费表'!B41</f>
        <v>5.6000000000000001E-2</v>
      </c>
      <c r="G72" s="359"/>
      <c r="H72" s="1295"/>
      <c r="I72" s="1289"/>
      <c r="J72" s="2034"/>
      <c r="K72" s="1975">
        <v>1</v>
      </c>
      <c r="L72" s="3473" t="s">
        <v>406</v>
      </c>
      <c r="M72" s="3473"/>
      <c r="N72" s="1293">
        <f ca="1">D66</f>
        <v>1284</v>
      </c>
      <c r="O72" s="1858" t="str">
        <f>E66</f>
        <v>销售额×税（费）率</v>
      </c>
      <c r="P72" s="1294">
        <f>F66</f>
        <v>5.6000000000000001E-2</v>
      </c>
      <c r="Q72" s="2027"/>
      <c r="R72" s="2027"/>
      <c r="S72" s="2027"/>
      <c r="T72" s="2027"/>
      <c r="U72" s="2027"/>
      <c r="V72" s="2027"/>
    </row>
    <row r="73" spans="1:22" ht="24" customHeight="1">
      <c r="A73" s="3467" t="s">
        <v>411</v>
      </c>
      <c r="B73" s="3435"/>
      <c r="C73" s="3435"/>
      <c r="D73" s="360">
        <f>IF(H73="个人住宅",0,ROUND(D63*I73,0))</f>
        <v>0</v>
      </c>
      <c r="E73" s="16" t="s">
        <v>412</v>
      </c>
      <c r="F73" s="358" t="str">
        <f>IF(H73="正常",I73,"免征")</f>
        <v>免征</v>
      </c>
      <c r="G73" s="359"/>
      <c r="H73" s="189" t="s">
        <v>2459</v>
      </c>
      <c r="I73" s="358">
        <f>'数据-取费表'!B49</f>
        <v>5.0000000000000001E-4</v>
      </c>
      <c r="J73" s="2034"/>
      <c r="K73" s="1975">
        <v>2</v>
      </c>
      <c r="L73" s="3473" t="s">
        <v>410</v>
      </c>
      <c r="M73" s="3473"/>
      <c r="N73" s="1293">
        <f t="shared" ref="N73:P74" si="1">D73</f>
        <v>0</v>
      </c>
      <c r="O73" s="1858" t="str">
        <f t="shared" si="1"/>
        <v>销售额×税（费）率</v>
      </c>
      <c r="P73" s="1294" t="str">
        <f t="shared" si="1"/>
        <v>免征</v>
      </c>
      <c r="Q73" s="2027"/>
      <c r="R73" s="2027"/>
      <c r="S73" s="2027"/>
      <c r="T73" s="2027"/>
      <c r="U73" s="2027"/>
      <c r="V73" s="2027"/>
    </row>
    <row r="74" spans="1:22" ht="24.75">
      <c r="A74" s="3467" t="s">
        <v>415</v>
      </c>
      <c r="B74" s="3435"/>
      <c r="C74" s="3435"/>
      <c r="D74" s="360">
        <f ca="1">IF(H74="个人住宅",D75,D76)</f>
        <v>12971</v>
      </c>
      <c r="E74" s="16" t="s">
        <v>416</v>
      </c>
      <c r="F74" s="358" t="str">
        <f>IF(H74="正常",F76,"免征")</f>
        <v>——</v>
      </c>
      <c r="G74" s="981" t="s">
        <v>417</v>
      </c>
      <c r="H74" s="361" t="s">
        <v>413</v>
      </c>
      <c r="I74" s="40"/>
      <c r="J74" s="2034"/>
      <c r="K74" s="1975">
        <v>3</v>
      </c>
      <c r="L74" s="3473" t="s">
        <v>414</v>
      </c>
      <c r="M74" s="3473"/>
      <c r="N74" s="1293">
        <f t="shared" ca="1" si="1"/>
        <v>12971</v>
      </c>
      <c r="O74" s="1858" t="str">
        <f t="shared" si="1"/>
        <v>增值额×税（费）率</v>
      </c>
      <c r="P74" s="1296" t="str">
        <f t="shared" si="1"/>
        <v>——</v>
      </c>
      <c r="Q74" s="2027"/>
      <c r="R74" s="2027"/>
      <c r="S74" s="2027"/>
      <c r="T74" s="2027"/>
      <c r="U74" s="2027"/>
      <c r="V74" s="2027"/>
    </row>
    <row r="75" spans="1:22" ht="24">
      <c r="A75" s="357" t="s">
        <v>418</v>
      </c>
      <c r="B75" s="3423" t="s">
        <v>419</v>
      </c>
      <c r="C75" s="3453"/>
      <c r="D75" s="362">
        <v>0</v>
      </c>
      <c r="E75" s="39" t="s">
        <v>420</v>
      </c>
      <c r="F75" s="363"/>
      <c r="G75" s="359"/>
      <c r="H75" s="40"/>
      <c r="I75" s="40"/>
      <c r="J75" s="2034"/>
      <c r="K75" s="3073">
        <f>IF(H77="非个人房产","",4)</f>
        <v>4</v>
      </c>
      <c r="L75" s="3473" t="str">
        <f>IF(H77="非个人房产","——","个人所得税")</f>
        <v>个人所得税</v>
      </c>
      <c r="M75" s="3473"/>
      <c r="N75" s="1297">
        <f ca="1">D77</f>
        <v>241</v>
      </c>
      <c r="O75" s="1871" t="str">
        <f>E77</f>
        <v>销售额×税（费）率</v>
      </c>
      <c r="P75" s="1298">
        <f>F77</f>
        <v>0.01</v>
      </c>
      <c r="Q75" s="2027"/>
      <c r="R75" s="2027"/>
      <c r="S75" s="2027"/>
      <c r="T75" s="2027"/>
      <c r="U75" s="2027"/>
      <c r="V75" s="2027"/>
    </row>
    <row r="76" spans="1:22" ht="24.75">
      <c r="A76" s="357" t="s">
        <v>396</v>
      </c>
      <c r="B76" s="3423" t="s">
        <v>422</v>
      </c>
      <c r="C76" s="3424"/>
      <c r="D76" s="360">
        <f ca="1">IF(H76="转让取得",C99,C115)</f>
        <v>12971</v>
      </c>
      <c r="E76" s="16" t="s">
        <v>423</v>
      </c>
      <c r="F76" s="51" t="s">
        <v>21</v>
      </c>
      <c r="G76" s="359"/>
      <c r="H76" s="361" t="s">
        <v>424</v>
      </c>
      <c r="I76" s="40"/>
      <c r="J76" s="2034"/>
      <c r="K76" s="3073" t="str">
        <f>IF(项目基本情况!K6="上海银行",IF(K75="",4,K75+1),"")</f>
        <v/>
      </c>
      <c r="L76" s="3484" t="str">
        <f>IF(项目基本情况!K6="上海银行","其他处置费用","")</f>
        <v/>
      </c>
      <c r="M76" s="3485"/>
      <c r="N76" s="1293" t="str">
        <f>IF(项目基本情况!K6="上海银行",N89,"")</f>
        <v/>
      </c>
      <c r="O76" s="3486" t="str">
        <f>IF(项目基本情况!K6="上海银行","包含处置中涉及的律师、诉讼、拍卖、评估等费用","")</f>
        <v/>
      </c>
      <c r="P76" s="3487"/>
      <c r="Q76" s="2027"/>
      <c r="R76" s="2027"/>
      <c r="S76" s="2027"/>
      <c r="T76" s="2027"/>
      <c r="U76" s="2027"/>
      <c r="V76" s="2027"/>
    </row>
    <row r="77" spans="1:22" ht="26.25" thickBot="1">
      <c r="A77" s="3475" t="s">
        <v>426</v>
      </c>
      <c r="B77" s="3476"/>
      <c r="C77" s="3476"/>
      <c r="D77" s="364">
        <f ca="1">IF(H77="非个人房产","——",IF(H77="个人住宅",0,ROUND(D63*I77,0)))</f>
        <v>241</v>
      </c>
      <c r="E77" s="365" t="str">
        <f>IF(H77="非个人房产","——","销售额×税（费）率")</f>
        <v>销售额×税（费）率</v>
      </c>
      <c r="F77" s="366">
        <f>IF(H77="非个人房产","——",IF(H77="个人住宅","免征",I77))</f>
        <v>0.01</v>
      </c>
      <c r="G77" s="982" t="s">
        <v>417</v>
      </c>
      <c r="H77" s="361" t="s">
        <v>2886</v>
      </c>
      <c r="I77" s="367">
        <v>0.01</v>
      </c>
      <c r="J77" s="2034"/>
      <c r="K77" s="3474">
        <f>IF(AND(K75="",K76=""),4,IF(项目基本情况!K6="上海银行",K76+1,K75+1))</f>
        <v>5</v>
      </c>
      <c r="L77" s="3473" t="s">
        <v>2887</v>
      </c>
      <c r="M77" s="3079" t="s">
        <v>421</v>
      </c>
      <c r="N77" s="1299"/>
      <c r="O77" s="1300">
        <f ca="1">SUMIF(N72:N76,"&lt;9e307")</f>
        <v>14496</v>
      </c>
      <c r="P77" s="1301"/>
      <c r="Q77" s="3077" t="e">
        <f ca="1">O77/N69</f>
        <v>#VALUE!</v>
      </c>
      <c r="R77" s="2027"/>
      <c r="S77" s="2027"/>
      <c r="T77" s="2027"/>
      <c r="U77" s="2027"/>
      <c r="V77" s="2027"/>
    </row>
    <row r="78" spans="1:22" ht="12" customHeight="1">
      <c r="A78" s="1302"/>
      <c r="B78" s="309"/>
      <c r="C78" s="309"/>
      <c r="D78" s="309"/>
      <c r="E78" s="40"/>
      <c r="F78" s="40"/>
      <c r="G78" s="40"/>
      <c r="H78" s="1001"/>
      <c r="I78" s="309"/>
      <c r="J78" s="2034"/>
      <c r="K78" s="3474"/>
      <c r="L78" s="3473"/>
      <c r="M78" s="3079" t="s">
        <v>425</v>
      </c>
      <c r="N78" s="1299"/>
      <c r="O78" s="1300" t="str">
        <f ca="1">NUMBERSTRING(INT(O77*10000),2)&amp;"元整"</f>
        <v>壹亿肆仟肆佰玖拾陆万元整</v>
      </c>
      <c r="P78" s="1301"/>
      <c r="Q78" s="2027"/>
      <c r="R78" s="2027"/>
      <c r="S78" s="2027"/>
      <c r="T78" s="2027"/>
      <c r="U78" s="2027"/>
      <c r="V78" s="2027"/>
    </row>
    <row r="79" spans="1:22" ht="13.5" thickBot="1">
      <c r="A79" s="3468" t="s">
        <v>427</v>
      </c>
      <c r="B79" s="3468"/>
      <c r="C79" s="3468"/>
      <c r="D79" s="3468"/>
      <c r="E79" s="3468"/>
      <c r="F79" s="40"/>
      <c r="G79" s="40"/>
      <c r="H79" s="1001"/>
      <c r="I79" s="309"/>
      <c r="J79" s="2034"/>
      <c r="K79" s="3494">
        <f>K77+1</f>
        <v>6</v>
      </c>
      <c r="L79" s="3473" t="s">
        <v>2888</v>
      </c>
      <c r="M79" s="3079" t="s">
        <v>421</v>
      </c>
      <c r="N79" s="1299"/>
      <c r="O79" s="1300" t="e">
        <f ca="1">N69-O77</f>
        <v>#VALUE!</v>
      </c>
      <c r="P79" s="1301"/>
      <c r="Q79" s="2027"/>
      <c r="R79" s="2027"/>
      <c r="S79" s="2027"/>
      <c r="T79" s="2027"/>
      <c r="U79" s="2027"/>
      <c r="V79" s="2027"/>
    </row>
    <row r="80" spans="1:22" ht="12.75">
      <c r="A80" s="3463" t="s">
        <v>428</v>
      </c>
      <c r="B80" s="3464"/>
      <c r="C80" s="992"/>
      <c r="D80" s="992" t="s">
        <v>429</v>
      </c>
      <c r="E80" s="368" t="s">
        <v>430</v>
      </c>
      <c r="F80" s="40"/>
      <c r="G80" s="40"/>
      <c r="H80" s="1001"/>
      <c r="I80" s="309"/>
      <c r="J80" s="2027"/>
      <c r="K80" s="3495"/>
      <c r="L80" s="3473"/>
      <c r="M80" s="3079" t="s">
        <v>425</v>
      </c>
      <c r="N80" s="1299"/>
      <c r="O80" s="1300" t="e">
        <f ca="1">NUMBERSTRING(INT(O79*10000),2)&amp;"元整"</f>
        <v>#VALUE!</v>
      </c>
      <c r="P80" s="1301"/>
      <c r="Q80" s="2027"/>
      <c r="R80" s="2027"/>
      <c r="S80" s="2027"/>
      <c r="T80" s="2027"/>
      <c r="U80" s="2027"/>
      <c r="V80" s="2027"/>
    </row>
    <row r="81" spans="1:26" ht="13.5" thickBot="1">
      <c r="A81" s="379" t="s">
        <v>1824</v>
      </c>
      <c r="B81" s="369" t="s">
        <v>431</v>
      </c>
      <c r="C81" s="370">
        <f ca="1">ROUND((C82+C83)/(1+'数据-取费表'!C42),0)</f>
        <v>22930</v>
      </c>
      <c r="D81" s="371"/>
      <c r="E81" s="372"/>
      <c r="F81" s="40"/>
      <c r="G81" s="40"/>
      <c r="H81" s="1001"/>
      <c r="I81" s="309"/>
      <c r="J81" s="2027"/>
      <c r="K81" s="3073">
        <f>K79+1</f>
        <v>7</v>
      </c>
      <c r="L81" s="3471" t="s">
        <v>2889</v>
      </c>
      <c r="M81" s="3472"/>
      <c r="N81" s="1303"/>
      <c r="O81" s="1304" t="e">
        <f ca="1">ROUND(O79*10000/'数据-汇总表'!E3,0)</f>
        <v>#VALUE!</v>
      </c>
      <c r="P81" s="1305"/>
      <c r="Q81" s="2027"/>
      <c r="R81" s="2027"/>
      <c r="S81" s="2027"/>
      <c r="T81" s="2027"/>
      <c r="U81" s="2027"/>
      <c r="V81" s="2027"/>
    </row>
    <row r="82" spans="1:26" ht="13.5" thickTop="1">
      <c r="A82" s="373" t="s">
        <v>1825</v>
      </c>
      <c r="B82" s="374" t="s">
        <v>432</v>
      </c>
      <c r="C82" s="375">
        <f ca="1">D63</f>
        <v>24077</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1826</v>
      </c>
      <c r="B83" s="374" t="s">
        <v>433</v>
      </c>
      <c r="C83" s="378">
        <v>0</v>
      </c>
      <c r="D83" s="376"/>
      <c r="E83" s="377"/>
      <c r="F83" s="40"/>
      <c r="G83" s="40"/>
      <c r="H83" s="1001"/>
      <c r="I83" s="309"/>
      <c r="J83" s="2027"/>
      <c r="K83" s="3483" t="s">
        <v>2876</v>
      </c>
      <c r="L83" s="3085" t="s">
        <v>2877</v>
      </c>
      <c r="M83" s="3075" t="e">
        <f>IF(N69&gt;10000,N69*0.5%,IF(AND(N69&gt;1000,N69&lt;=10000),N69*1%,IF(AND(N69&gt;100,N69&lt;=1000),N69*3%,IF(AND(N69&gt;10,N69&lt;=100),N69*5%,N69*8%))))</f>
        <v>#VALUE!</v>
      </c>
      <c r="N83" s="51" t="e">
        <f>ROUND(M83,1)</f>
        <v>#VALUE!</v>
      </c>
      <c r="O83" s="3078"/>
      <c r="P83" s="2027"/>
      <c r="Q83" s="2027"/>
      <c r="R83" s="2027"/>
      <c r="S83" s="2027"/>
      <c r="T83" s="2027"/>
      <c r="U83" s="2027"/>
      <c r="V83" s="2027"/>
    </row>
    <row r="84" spans="1:26" ht="12.75">
      <c r="A84" s="379" t="s">
        <v>1827</v>
      </c>
      <c r="B84" s="380" t="s">
        <v>434</v>
      </c>
      <c r="C84" s="381">
        <v>2000</v>
      </c>
      <c r="D84" s="382" t="s">
        <v>19</v>
      </c>
      <c r="E84" s="3120" t="s">
        <v>2941</v>
      </c>
      <c r="F84" s="40"/>
      <c r="G84" s="40"/>
      <c r="H84" s="1001"/>
      <c r="I84" s="309"/>
      <c r="J84" s="2027"/>
      <c r="K84" s="3483"/>
      <c r="L84" s="3085" t="s">
        <v>2878</v>
      </c>
      <c r="M84" s="307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2879</v>
      </c>
      <c r="P84" s="2027"/>
      <c r="Q84" s="2027"/>
      <c r="R84" s="2027"/>
      <c r="S84" s="2027"/>
      <c r="T84" s="2027"/>
      <c r="U84" s="2027"/>
      <c r="V84" s="2027"/>
    </row>
    <row r="85" spans="1:26" ht="12.75">
      <c r="A85" s="379" t="s">
        <v>1828</v>
      </c>
      <c r="B85" s="380" t="s">
        <v>435</v>
      </c>
      <c r="C85" s="383">
        <f ca="1">C81-C84</f>
        <v>20930</v>
      </c>
      <c r="D85" s="376" t="s">
        <v>19</v>
      </c>
      <c r="E85" s="377"/>
      <c r="F85" s="40"/>
      <c r="G85" s="40"/>
      <c r="H85" s="1001"/>
      <c r="I85" s="309"/>
      <c r="J85" s="2027"/>
      <c r="K85" s="3483"/>
      <c r="L85" s="3085" t="s">
        <v>2880</v>
      </c>
      <c r="M85" s="3075" t="e">
        <f>IF(N69&gt;1000,N69*0.1%,IF(AND(N69&gt;500,N69&lt;=1000),N69*0.5%,IF(AND(N69&gt;50,N69&lt;=500),N69*1%,IF(AND(N69&gt;1,N69&lt;=50),N69*1.5%))))</f>
        <v>#VALUE!</v>
      </c>
      <c r="N85" s="51" t="e">
        <f t="shared" si="2"/>
        <v>#VALUE!</v>
      </c>
      <c r="O85" s="2027" t="s">
        <v>2879</v>
      </c>
      <c r="P85" s="2027"/>
      <c r="Q85" s="2027"/>
      <c r="R85" s="2027"/>
      <c r="S85" s="2027"/>
      <c r="T85" s="2027"/>
      <c r="U85" s="2027"/>
      <c r="V85" s="2027"/>
    </row>
    <row r="86" spans="1:26" ht="13.5" thickBot="1">
      <c r="A86" s="384" t="s">
        <v>1829</v>
      </c>
      <c r="B86" s="385" t="s">
        <v>436</v>
      </c>
      <c r="C86" s="386">
        <f ca="1">IF(C85&lt;=0,0,ROUND(C85*D86,0))</f>
        <v>1172</v>
      </c>
      <c r="D86" s="387">
        <f>'数据-取费表'!B41</f>
        <v>5.6000000000000001E-2</v>
      </c>
      <c r="E86" s="388"/>
      <c r="F86" s="40"/>
      <c r="G86" s="40"/>
      <c r="H86" s="1001"/>
      <c r="I86" s="309"/>
      <c r="J86" s="2027"/>
      <c r="K86" s="3483"/>
      <c r="L86" s="3085" t="s">
        <v>2881</v>
      </c>
      <c r="M86" s="3075" t="e">
        <f>N69*0.5%</f>
        <v>#VALUE!</v>
      </c>
      <c r="N86" s="51" t="e">
        <f>IF(M86&gt;0.5,0.5,ROUND(M86,0))</f>
        <v>#VALUE!</v>
      </c>
      <c r="O86" s="2027" t="s">
        <v>2882</v>
      </c>
      <c r="P86" s="2027"/>
      <c r="Q86" s="2027"/>
      <c r="R86" s="2027"/>
      <c r="S86" s="2027"/>
      <c r="T86" s="2027"/>
      <c r="U86" s="2027"/>
      <c r="V86" s="2027"/>
    </row>
    <row r="87" spans="1:26" s="1251" customFormat="1" ht="14.25" customHeight="1">
      <c r="A87" s="1306"/>
      <c r="B87" s="1307"/>
      <c r="C87" s="1308"/>
      <c r="D87" s="1309"/>
      <c r="E87" s="1310"/>
      <c r="F87" s="40"/>
      <c r="G87" s="40"/>
      <c r="H87" s="1001"/>
      <c r="I87" s="309"/>
      <c r="J87" s="2027"/>
      <c r="K87" s="3483"/>
      <c r="L87" s="3085" t="s">
        <v>2883</v>
      </c>
      <c r="M87" s="307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78"/>
      <c r="P87" s="309"/>
      <c r="Q87" s="2027"/>
      <c r="R87" s="2027"/>
      <c r="S87" s="2027"/>
      <c r="T87" s="2027"/>
      <c r="U87" s="2027"/>
      <c r="V87" s="2027"/>
      <c r="W87" s="290"/>
      <c r="X87" s="290"/>
      <c r="Y87" s="290"/>
      <c r="Z87" s="290"/>
    </row>
    <row r="88" spans="1:26" s="1311" customFormat="1" ht="15" thickBot="1">
      <c r="A88" s="3465" t="s">
        <v>437</v>
      </c>
      <c r="B88" s="3466"/>
      <c r="C88" s="3466"/>
      <c r="D88" s="3466"/>
      <c r="E88" s="3466"/>
      <c r="F88" s="3466"/>
      <c r="G88" s="3466"/>
      <c r="H88" s="3466"/>
      <c r="I88" s="1312"/>
      <c r="J88" s="2035"/>
      <c r="K88" s="3483"/>
      <c r="L88" s="3085" t="s">
        <v>2884</v>
      </c>
      <c r="M88" s="3075" t="e">
        <f>IF(N69&gt;10000,N69*0.5%,IF(AND(N69&gt;5000,N69&lt;=10000),N69*1%,IF(AND(N69&gt;1000,N69&lt;=5000),N69*2%,IF(AND(N69&gt;200,N69&lt;=1000),N69*3%,N69*5%))))</f>
        <v>#VALUE!</v>
      </c>
      <c r="N88" s="51" t="e">
        <f>ROUND(M88,1)</f>
        <v>#VALUE!</v>
      </c>
      <c r="O88" s="3078"/>
      <c r="P88" s="11"/>
      <c r="Q88" s="2032"/>
      <c r="R88" s="2032"/>
      <c r="S88" s="2032"/>
      <c r="T88" s="2032"/>
      <c r="U88" s="2032"/>
      <c r="V88" s="2032"/>
      <c r="W88" s="2036"/>
      <c r="X88" s="2036"/>
      <c r="Y88" s="2036"/>
      <c r="Z88" s="2036"/>
    </row>
    <row r="89" spans="1:26" s="1311" customFormat="1" ht="14.25">
      <c r="A89" s="3463" t="s">
        <v>428</v>
      </c>
      <c r="B89" s="3464"/>
      <c r="C89" s="992"/>
      <c r="D89" s="992" t="s">
        <v>429</v>
      </c>
      <c r="E89" s="389" t="s">
        <v>438</v>
      </c>
      <c r="F89" s="390"/>
      <c r="G89" s="390"/>
      <c r="H89" s="391"/>
      <c r="I89" s="1313"/>
      <c r="J89" s="2037"/>
      <c r="K89" s="3483"/>
      <c r="L89" s="3085" t="s">
        <v>27</v>
      </c>
      <c r="M89" s="3076"/>
      <c r="N89" s="51" t="e">
        <f>ROUND(SUM(N83:N88),0)</f>
        <v>#VALUE!</v>
      </c>
      <c r="O89" s="3086" t="e">
        <f>N89/N69</f>
        <v>#VALUE!</v>
      </c>
      <c r="P89" s="2032"/>
      <c r="Q89" s="2032"/>
      <c r="R89" s="2032"/>
      <c r="S89" s="2032"/>
      <c r="T89" s="2032"/>
      <c r="U89" s="2032"/>
      <c r="V89" s="2032"/>
      <c r="W89" s="2036"/>
      <c r="X89" s="2036"/>
      <c r="Y89" s="2036"/>
      <c r="Z89" s="2036"/>
    </row>
    <row r="90" spans="1:26" s="1311" customFormat="1" ht="14.25">
      <c r="A90" s="379" t="s">
        <v>1824</v>
      </c>
      <c r="B90" s="380" t="s">
        <v>439</v>
      </c>
      <c r="C90" s="383">
        <f ca="1">ROUND(D63/(1+'数据-取费表'!C42),0)</f>
        <v>22930</v>
      </c>
      <c r="D90" s="376" t="s">
        <v>19</v>
      </c>
      <c r="E90" s="989"/>
      <c r="F90" s="988"/>
      <c r="G90" s="988"/>
      <c r="H90" s="392"/>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9" t="s">
        <v>1830</v>
      </c>
      <c r="B91" s="346" t="s">
        <v>440</v>
      </c>
      <c r="C91" s="383">
        <f ca="1">C92+C96</f>
        <v>2699</v>
      </c>
      <c r="D91" s="376" t="s">
        <v>19</v>
      </c>
      <c r="E91" s="989"/>
      <c r="F91" s="988"/>
      <c r="G91" s="988"/>
      <c r="H91" s="392"/>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3" t="s">
        <v>1831</v>
      </c>
      <c r="B92" s="374" t="s">
        <v>441</v>
      </c>
      <c r="C92" s="376">
        <f>ROUND(IF(G95="2016年5月1日后购买",C93/(1+'数据-取费表'!C30)+C94+C95,C93+C94+C95),0)</f>
        <v>2561</v>
      </c>
      <c r="D92" s="376" t="s">
        <v>19</v>
      </c>
      <c r="E92" s="989"/>
      <c r="F92" s="988"/>
      <c r="G92" s="988"/>
      <c r="H92" s="392"/>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3" t="s">
        <v>1832</v>
      </c>
      <c r="B93" s="374" t="s">
        <v>442</v>
      </c>
      <c r="C93" s="394">
        <v>2000</v>
      </c>
      <c r="D93" s="376" t="s">
        <v>19</v>
      </c>
      <c r="E93" s="395" t="s">
        <v>443</v>
      </c>
      <c r="F93" s="396" t="s">
        <v>444</v>
      </c>
      <c r="G93" s="395" t="s">
        <v>445</v>
      </c>
      <c r="H93" s="397">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3" t="s">
        <v>1833</v>
      </c>
      <c r="B94" s="398" t="s">
        <v>446</v>
      </c>
      <c r="C94" s="376">
        <f>IF(F93="购房发票",ROUND(C93*H93*5%,0),0)</f>
        <v>500</v>
      </c>
      <c r="D94" s="399">
        <v>0.05</v>
      </c>
      <c r="E94" s="3426" t="s">
        <v>447</v>
      </c>
      <c r="F94" s="3425"/>
      <c r="G94" s="3425"/>
      <c r="H94" s="3462"/>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3" t="s">
        <v>1835</v>
      </c>
      <c r="B96" s="374" t="s">
        <v>450</v>
      </c>
      <c r="C96" s="403">
        <f ca="1">ROUND(D63*D96/(1+'数据-取费表'!C42),0)</f>
        <v>138</v>
      </c>
      <c r="D96" s="404">
        <f>'数据-取费表'!B43</f>
        <v>6.000000000000001E-3</v>
      </c>
      <c r="E96" s="3454" t="s">
        <v>2432</v>
      </c>
      <c r="F96" s="3455"/>
      <c r="G96" s="3455"/>
      <c r="H96" s="3456"/>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80" t="s">
        <v>451</v>
      </c>
      <c r="C97" s="383">
        <f ca="1">C90-C91</f>
        <v>20231</v>
      </c>
      <c r="D97" s="376" t="s">
        <v>19</v>
      </c>
      <c r="E97" s="989"/>
      <c r="F97" s="988"/>
      <c r="G97" s="988"/>
      <c r="H97" s="392"/>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80" t="s">
        <v>452</v>
      </c>
      <c r="C98" s="405">
        <f ca="1">IF(C97&lt;=0,0,C97/C91)</f>
        <v>7.4957391626528347</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5" t="s">
        <v>453</v>
      </c>
      <c r="C99" s="406">
        <f ca="1">ROUND(IF(C97&lt;=0,0,IF(C98&gt;=200%,C97*60%-C91*35%,IF(C98&gt;=100%,C97*50%-C91*15%,IF(C98&gt;=50%,C97*40%-C91*5%,IF(C98&lt;50%,C97*30%,0))))),0)</f>
        <v>11194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465" t="s">
        <v>454</v>
      </c>
      <c r="B101" s="3466"/>
      <c r="C101" s="3466"/>
      <c r="D101" s="3466"/>
      <c r="E101" s="3466"/>
      <c r="F101" s="3466"/>
      <c r="G101" s="3466"/>
      <c r="H101" s="3466"/>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463" t="s">
        <v>428</v>
      </c>
      <c r="B102" s="3464"/>
      <c r="C102" s="992"/>
      <c r="D102" s="992" t="s">
        <v>429</v>
      </c>
      <c r="E102" s="389" t="s">
        <v>438</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9" t="s">
        <v>1824</v>
      </c>
      <c r="B103" s="380" t="s">
        <v>439</v>
      </c>
      <c r="C103" s="383">
        <f ca="1">ROUND(D63/(1+'数据-取费表'!C42),0)</f>
        <v>22930</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9" t="s">
        <v>1830</v>
      </c>
      <c r="B104" s="346" t="s">
        <v>440</v>
      </c>
      <c r="C104" s="383">
        <f ca="1">IF(H106="仅含出让金",C105+C108+C109+C110+C111+C112,C105+C109+C110+C111+C112)</f>
        <v>828</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3" t="s">
        <v>1831</v>
      </c>
      <c r="B105" s="374" t="s">
        <v>455</v>
      </c>
      <c r="C105" s="403">
        <f>C106+C107</f>
        <v>572</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3" t="s">
        <v>1832</v>
      </c>
      <c r="B106" s="374" t="s">
        <v>456</v>
      </c>
      <c r="C106" s="414">
        <v>555</v>
      </c>
      <c r="D106" s="404"/>
      <c r="E106" s="415" t="s">
        <v>457</v>
      </c>
      <c r="F106" s="984"/>
      <c r="G106" s="416" t="s">
        <v>458</v>
      </c>
      <c r="H106" s="417"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3" t="s">
        <v>1833</v>
      </c>
      <c r="B107" s="374" t="s">
        <v>448</v>
      </c>
      <c r="C107" s="403">
        <f>ROUND(C106*D107,0)</f>
        <v>17</v>
      </c>
      <c r="D107" s="404">
        <f>'数据-取费表'!B48+'数据-取费表'!B49</f>
        <v>3.0499999999999999E-2</v>
      </c>
      <c r="E107" s="415"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3" t="s">
        <v>1835</v>
      </c>
      <c r="B108" s="374" t="s">
        <v>460</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4" t="s">
        <v>461</v>
      </c>
      <c r="C109" s="403">
        <f>IF(H109="——",IF(F1="现房",'剩余法-现房'!C18,'剩余法-待开发'!C18),I109)</f>
        <v>55</v>
      </c>
      <c r="D109" s="404"/>
      <c r="E109" s="3457" t="s">
        <v>462</v>
      </c>
      <c r="F109" s="3455"/>
      <c r="G109" s="3455"/>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4" t="s">
        <v>463</v>
      </c>
      <c r="C110" s="403">
        <f>ROUND((C105+C108+C109)*D110,0)</f>
        <v>63</v>
      </c>
      <c r="D110" s="404">
        <v>0.1</v>
      </c>
      <c r="E110" s="3457" t="s">
        <v>464</v>
      </c>
      <c r="F110" s="3455"/>
      <c r="G110" s="3455"/>
      <c r="H110" s="3456"/>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4" t="s">
        <v>450</v>
      </c>
      <c r="C111" s="403">
        <f ca="1">ROUND(D63*D111/(1+'数据-取费表'!C42),0)</f>
        <v>138</v>
      </c>
      <c r="D111" s="404">
        <f>'数据-取费表'!B43</f>
        <v>6.000000000000001E-3</v>
      </c>
      <c r="E111" s="3454" t="s">
        <v>2432</v>
      </c>
      <c r="F111" s="3455"/>
      <c r="G111" s="3455"/>
      <c r="H111" s="3456"/>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4" t="s">
        <v>465</v>
      </c>
      <c r="C112" s="403">
        <f>ROUND(C108*D112,0)</f>
        <v>0</v>
      </c>
      <c r="D112" s="404">
        <v>0.2</v>
      </c>
      <c r="E112" s="3457" t="s">
        <v>2457</v>
      </c>
      <c r="F112" s="3455"/>
      <c r="G112" s="3455"/>
      <c r="H112" s="3456"/>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80" t="s">
        <v>451</v>
      </c>
      <c r="C113" s="383">
        <f ca="1">ROUND(C103-C104,0)</f>
        <v>22102</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80" t="s">
        <v>452</v>
      </c>
      <c r="C114" s="405">
        <f ca="1">IF(C113&lt;=0,0,C113/C104)</f>
        <v>26.693236714975846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5" t="s">
        <v>453</v>
      </c>
      <c r="C115" s="406">
        <f ca="1">ROUND(IF(C113&lt;=0,0,IF(C114&gt;=200%,C113*60%-C104*35%,IF(C114&gt;=100%,C113*50%-C104*15%,IF(C114&gt;=50%,C113*40%-C104*5%,IF(C114&lt;50%,C113*30%,0))))),0)</f>
        <v>12971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0" workbookViewId="0">
      <selection activeCell="C29" sqref="C2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28" t="s">
        <v>1678</v>
      </c>
      <c r="C1" s="2103"/>
      <c r="D1" s="2103"/>
      <c r="E1" s="2103"/>
      <c r="F1" s="2103"/>
      <c r="G1" s="2103"/>
      <c r="H1" s="2103"/>
      <c r="I1" s="2103"/>
      <c r="J1" s="2103"/>
      <c r="K1" s="420">
        <f>MATCH(B1,'数据-取费表'!A6:A16,0)+5</f>
        <v>6</v>
      </c>
    </row>
    <row r="2" spans="1:31" s="2040" customFormat="1" ht="18" customHeight="1">
      <c r="A2" s="2100" t="s">
        <v>467</v>
      </c>
      <c r="B2" s="2104">
        <f ca="1">C36</f>
        <v>43494</v>
      </c>
      <c r="C2" s="2103"/>
      <c r="D2" s="2103"/>
      <c r="E2" s="2103"/>
      <c r="F2" s="2103"/>
      <c r="G2" s="2103"/>
      <c r="H2" s="2103"/>
      <c r="I2" s="2103"/>
      <c r="J2" s="2103"/>
      <c r="K2" s="2103"/>
    </row>
    <row r="3" spans="1:31" s="2040" customFormat="1" ht="18" customHeight="1">
      <c r="A3" s="2105" t="s">
        <v>1685</v>
      </c>
      <c r="B3" s="2106">
        <f ca="1">ROUND(B2*10000/IF(B1="",'数据-汇总表'!E3,INDIRECT("'数据-取费表'!K"&amp;$K$1)),0)</f>
        <v>43494</v>
      </c>
      <c r="C3" s="2103"/>
      <c r="D3" s="2103"/>
      <c r="E3" s="2103"/>
      <c r="F3" s="2103"/>
      <c r="G3" s="2103"/>
      <c r="H3" s="2103"/>
      <c r="I3" s="2103"/>
      <c r="J3" s="2103"/>
      <c r="K3" s="2103"/>
    </row>
    <row r="4" spans="1:31" s="2040" customFormat="1" ht="18" customHeight="1">
      <c r="A4" s="424" t="s">
        <v>468</v>
      </c>
      <c r="B4" s="425">
        <f ca="1">ROUND(B2*10000/IF(B1="",'数据-汇总表'!D3,INDIRECT("'数据-取费表'!R"&amp;$K$1)),0)</f>
        <v>209199</v>
      </c>
      <c r="C4" s="426"/>
      <c r="D4" s="420"/>
      <c r="E4" s="420"/>
      <c r="F4" s="420"/>
      <c r="G4" s="420"/>
      <c r="H4" s="420"/>
      <c r="I4" s="420"/>
      <c r="J4" s="420"/>
      <c r="K4" s="420"/>
    </row>
    <row r="5" spans="1:31" s="2040" customFormat="1" ht="18" customHeight="1" thickBot="1">
      <c r="A5" s="427"/>
      <c r="B5" s="428">
        <f ca="1">ROUND(B2/(IF(B1="",'数据-汇总表'!D3,INDIRECT("'数据-取费表'!R"&amp;$K$1))/666.67),0)</f>
        <v>13947</v>
      </c>
      <c r="C5" s="429" t="s">
        <v>469</v>
      </c>
      <c r="D5" s="420"/>
      <c r="E5" s="420"/>
      <c r="F5" s="420"/>
      <c r="G5" s="420"/>
      <c r="H5" s="420"/>
      <c r="I5" s="420"/>
      <c r="J5" s="420"/>
      <c r="K5" s="420"/>
    </row>
    <row r="6" spans="1:31" s="2110" customFormat="1" ht="16.5" customHeight="1">
      <c r="A6" s="2847" t="s">
        <v>1843</v>
      </c>
      <c r="B6" s="2848"/>
      <c r="C6" s="2849">
        <f>SUM(C10:K10)</f>
        <v>65586</v>
      </c>
      <c r="D6" s="2848"/>
      <c r="E6" s="2848"/>
      <c r="F6" s="2848"/>
      <c r="G6" s="2848"/>
      <c r="H6" s="2848"/>
      <c r="I6" s="2848"/>
      <c r="J6" s="2848"/>
      <c r="K6" s="2850"/>
    </row>
    <row r="7" spans="1:31" s="2112" customFormat="1" ht="15">
      <c r="A7" s="2851" t="s">
        <v>470</v>
      </c>
      <c r="B7" s="2852"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1846</v>
      </c>
      <c r="B8" s="259" t="s">
        <v>472</v>
      </c>
      <c r="C8" s="2853">
        <f>'不动产比较法-办公'!C50</f>
        <v>65586</v>
      </c>
      <c r="D8" s="2853"/>
      <c r="E8" s="2853"/>
      <c r="F8" s="2853"/>
      <c r="G8" s="2853"/>
      <c r="H8" s="2853"/>
      <c r="I8" s="2853"/>
      <c r="J8" s="2853"/>
      <c r="K8" s="285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5" t="s">
        <v>1848</v>
      </c>
      <c r="B10" s="2841" t="s">
        <v>474</v>
      </c>
      <c r="C10" s="3048">
        <f>C8</f>
        <v>65586</v>
      </c>
      <c r="D10" s="3048"/>
      <c r="E10" s="3048"/>
      <c r="F10" s="2856"/>
      <c r="G10" s="2856"/>
      <c r="H10" s="2856"/>
      <c r="I10" s="2856"/>
      <c r="J10" s="2856"/>
      <c r="K10" s="285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58" t="s">
        <v>1844</v>
      </c>
      <c r="B11" s="2848"/>
      <c r="C11" s="2848"/>
      <c r="D11" s="2848"/>
      <c r="E11" s="2848"/>
      <c r="F11" s="2848"/>
      <c r="G11" s="2848"/>
      <c r="H11" s="2848"/>
      <c r="I11" s="2848"/>
      <c r="J11" s="2848"/>
      <c r="K11" s="2850"/>
    </row>
    <row r="12" spans="1:31" s="2084" customFormat="1" ht="13.5" customHeight="1">
      <c r="A12" s="2859" t="s">
        <v>470</v>
      </c>
      <c r="B12" s="2831" t="s">
        <v>471</v>
      </c>
      <c r="C12" s="2860" t="s">
        <v>475</v>
      </c>
      <c r="D12" s="2827" t="s">
        <v>476</v>
      </c>
      <c r="E12" s="2827" t="s">
        <v>477</v>
      </c>
      <c r="F12" s="2827" t="s">
        <v>478</v>
      </c>
      <c r="G12" s="2831"/>
      <c r="H12" s="2832"/>
      <c r="I12" s="2832"/>
      <c r="J12" s="2832"/>
      <c r="K12" s="2833"/>
    </row>
    <row r="13" spans="1:31" s="2115" customFormat="1" ht="13.5" customHeight="1">
      <c r="A13" s="2861" t="s">
        <v>1849</v>
      </c>
      <c r="B13" s="2862" t="s">
        <v>479</v>
      </c>
      <c r="C13" s="448">
        <f ca="1">IF(B1="",'数据-取费表'!P16,INDIRECT("'数据-取费表'!p"&amp;$K$1)+INDIRECT("'数据-取费表'!t"&amp;$K$1))</f>
        <v>2300</v>
      </c>
      <c r="D13" s="2863"/>
      <c r="E13" s="2864"/>
      <c r="F13" s="2865"/>
      <c r="G13" s="2831"/>
      <c r="H13" s="2832"/>
      <c r="I13" s="2832"/>
      <c r="J13" s="2832"/>
      <c r="K13" s="2833"/>
    </row>
    <row r="14" spans="1:31" s="2115" customFormat="1" ht="13.5" customHeight="1">
      <c r="A14" s="2861" t="s">
        <v>1850</v>
      </c>
      <c r="B14" s="2862" t="s">
        <v>480</v>
      </c>
      <c r="C14" s="51">
        <f ca="1">ROUND(C13*F14,0)</f>
        <v>69</v>
      </c>
      <c r="D14" s="2863"/>
      <c r="E14" s="2864"/>
      <c r="F14" s="2866">
        <f>'数据-取费表'!B33</f>
        <v>0.03</v>
      </c>
      <c r="G14" s="2831" t="s">
        <v>481</v>
      </c>
      <c r="H14" s="2832"/>
      <c r="I14" s="2832"/>
      <c r="J14" s="2832"/>
      <c r="K14" s="2833"/>
    </row>
    <row r="15" spans="1:31" s="2115" customFormat="1" ht="13.5" customHeight="1">
      <c r="A15" s="2861" t="s">
        <v>1851</v>
      </c>
      <c r="B15" s="2862" t="s">
        <v>482</v>
      </c>
      <c r="C15" s="51">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6" customFormat="1" ht="13.5" customHeight="1">
      <c r="A16" s="2861" t="s">
        <v>1852</v>
      </c>
      <c r="B16" s="2862" t="s">
        <v>484</v>
      </c>
      <c r="C16" s="51">
        <f ca="1">ROUND(D16*E16/10000,0)</f>
        <v>200</v>
      </c>
      <c r="D16" s="2863">
        <f ca="1">IF(B1="",'数据-汇总表'!E3,INDIRECT("'数据-取费表'!K"&amp;$K$1)+INDIRECT("'数据-取费表'!S"&amp;$K$1))</f>
        <v>10000</v>
      </c>
      <c r="E16" s="51">
        <f>'数据-取费表'!B35</f>
        <v>200</v>
      </c>
      <c r="F16" s="2866"/>
      <c r="G16" s="2831"/>
      <c r="H16" s="2832"/>
      <c r="I16" s="2832"/>
      <c r="J16" s="2832"/>
      <c r="K16" s="283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1" t="s">
        <v>1853</v>
      </c>
      <c r="B17" s="2862" t="s">
        <v>485</v>
      </c>
      <c r="C17" s="2867">
        <f ca="1">ROUND(C13*F17,0)</f>
        <v>35</v>
      </c>
      <c r="D17" s="473"/>
      <c r="E17" s="2867"/>
      <c r="F17" s="2868">
        <f>'数据-取费表'!B36</f>
        <v>1.4999999999999999E-2</v>
      </c>
      <c r="G17" s="259" t="s">
        <v>486</v>
      </c>
      <c r="H17" s="2834"/>
      <c r="I17" s="2834"/>
      <c r="J17" s="2834"/>
      <c r="K17" s="277"/>
    </row>
    <row r="18" spans="1:14" s="2115" customFormat="1" ht="13.5" customHeight="1">
      <c r="A18" s="2869" t="s">
        <v>1854</v>
      </c>
      <c r="B18" s="2870" t="s">
        <v>487</v>
      </c>
      <c r="C18" s="2871">
        <f ca="1">SUM(C13:C17)</f>
        <v>2604</v>
      </c>
      <c r="D18" s="2872"/>
      <c r="E18" s="466"/>
      <c r="F18" s="466"/>
      <c r="G18" s="2835" t="s">
        <v>2434</v>
      </c>
      <c r="H18" s="2836"/>
      <c r="I18" s="2836"/>
      <c r="J18" s="2836"/>
      <c r="K18" s="2837"/>
    </row>
    <row r="19" spans="1:14" s="2115" customFormat="1" ht="13.5" customHeight="1">
      <c r="A19" s="2869" t="s">
        <v>1855</v>
      </c>
      <c r="B19" s="2870" t="s">
        <v>488</v>
      </c>
      <c r="C19" s="2827">
        <f ca="1">ROUND(D19*E19/10000,0)</f>
        <v>0</v>
      </c>
      <c r="D19" s="2873">
        <f ca="1">D16</f>
        <v>10000</v>
      </c>
      <c r="E19" s="2827">
        <f>'数据-取费表'!B32</f>
        <v>0</v>
      </c>
      <c r="F19" s="466"/>
      <c r="G19" s="2831" t="s">
        <v>489</v>
      </c>
      <c r="H19" s="2832"/>
      <c r="I19" s="2836"/>
      <c r="J19" s="2836"/>
      <c r="K19" s="2837"/>
    </row>
    <row r="20" spans="1:14" s="2115" customFormat="1" ht="13.5" customHeight="1">
      <c r="A20" s="2869" t="s">
        <v>1856</v>
      </c>
      <c r="B20" s="2870" t="s">
        <v>490</v>
      </c>
      <c r="C20" s="2827">
        <f ca="1">C21+C22-IF(B1="",'数据-取费表'!B29,IF(G20="已全部缴纳",C21+C22,H20))</f>
        <v>200</v>
      </c>
      <c r="D20" s="2873"/>
      <c r="E20" s="2827"/>
      <c r="F20" s="2874"/>
      <c r="G20" s="3108" t="s">
        <v>3109</v>
      </c>
      <c r="H20" s="2829"/>
      <c r="I20" s="2830" t="s">
        <v>2655</v>
      </c>
      <c r="J20" s="2836"/>
      <c r="K20" s="2837"/>
    </row>
    <row r="21" spans="1:14" s="2115" customFormat="1" ht="13.5" customHeight="1">
      <c r="A21" s="2861" t="s">
        <v>1857</v>
      </c>
      <c r="B21" s="2862" t="s">
        <v>491</v>
      </c>
      <c r="C21" s="51">
        <f ca="1">ROUND(D21*E21/10000,0)</f>
        <v>0</v>
      </c>
      <c r="D21" s="2863">
        <f ca="1">IF(B1="",'数据-汇总表'!E5,IF(INDIRECT("'数据-取费表'!c"&amp;$K$1)="住宅",INDIRECT("'数据-取费表'!k"&amp;$K$1),0))</f>
        <v>0</v>
      </c>
      <c r="E21" s="51">
        <f>'数据-取费表'!B27</f>
        <v>0</v>
      </c>
      <c r="F21" s="2866"/>
      <c r="G21" s="24"/>
      <c r="H21" s="49"/>
      <c r="I21" s="49"/>
      <c r="J21" s="49"/>
      <c r="K21" s="2838"/>
    </row>
    <row r="22" spans="1:14" s="2115" customFormat="1" ht="13.5" customHeight="1">
      <c r="A22" s="2861" t="s">
        <v>1858</v>
      </c>
      <c r="B22" s="2862" t="s">
        <v>492</v>
      </c>
      <c r="C22" s="51">
        <f ca="1">ROUND(D22*E22/10000,0)</f>
        <v>200</v>
      </c>
      <c r="D22" s="2863">
        <f ca="1">IF(B1="",'数据-汇总表'!E6,IF(INDIRECT("'数据-取费表'!c"&amp;$K$1)="住宅",INDIRECT("'数据-取费表'!s"&amp;$K$1),INDIRECT("'数据-取费表'!k"&amp;$K$1)+INDIRECT("'数据-取费表'!s"&amp;$K$1)))</f>
        <v>10000</v>
      </c>
      <c r="E22" s="51">
        <f>'数据-取费表'!B28</f>
        <v>200</v>
      </c>
      <c r="F22" s="2866"/>
      <c r="G22" s="24"/>
      <c r="H22" s="49"/>
      <c r="I22" s="49"/>
      <c r="J22" s="49"/>
      <c r="K22" s="2838"/>
    </row>
    <row r="23" spans="1:14" s="2115" customFormat="1" ht="13.5" customHeight="1">
      <c r="A23" s="2869" t="s">
        <v>1859</v>
      </c>
      <c r="B23" s="3054" t="s">
        <v>2836</v>
      </c>
      <c r="C23" s="2871">
        <f ca="1">ROUND((C18+C19+C20)*F23,0)</f>
        <v>56</v>
      </c>
      <c r="D23" s="466"/>
      <c r="E23" s="466"/>
      <c r="F23" s="2875">
        <f>'数据-取费表'!B37</f>
        <v>0.02</v>
      </c>
      <c r="G23" s="2831" t="s">
        <v>2435</v>
      </c>
      <c r="H23" s="2832"/>
      <c r="I23" s="2832"/>
      <c r="J23" s="2832"/>
      <c r="K23" s="2833"/>
      <c r="L23" s="2117"/>
      <c r="M23" s="2117"/>
      <c r="N23" s="2117"/>
    </row>
    <row r="24" spans="1:14" s="2115" customFormat="1" ht="13.5" customHeight="1">
      <c r="A24" s="2869" t="s">
        <v>1860</v>
      </c>
      <c r="B24" s="3054" t="s">
        <v>2839</v>
      </c>
      <c r="C24" s="2871">
        <f>ROUND(C6*F24,0)</f>
        <v>1312</v>
      </c>
      <c r="D24" s="473"/>
      <c r="E24" s="471"/>
      <c r="F24" s="2875">
        <f>'数据-取费表'!B38</f>
        <v>0.02</v>
      </c>
      <c r="G24" s="2840" t="s">
        <v>499</v>
      </c>
      <c r="H24" s="2834"/>
      <c r="I24" s="2834"/>
      <c r="J24" s="2834"/>
      <c r="K24" s="277"/>
      <c r="L24" s="2117"/>
      <c r="M24" s="2117"/>
      <c r="N24" s="2117"/>
    </row>
    <row r="25" spans="1:14" s="2118" customFormat="1" ht="13.5" customHeight="1">
      <c r="A25" s="2869" t="s">
        <v>1861</v>
      </c>
      <c r="B25" s="3054" t="s">
        <v>2837</v>
      </c>
      <c r="C25" s="465">
        <f>ROUND(F25/(1+'数据-取费表'!C42),4)</f>
        <v>2.9000000000000001E-2</v>
      </c>
      <c r="D25" s="460" t="s">
        <v>2831</v>
      </c>
      <c r="E25" s="467"/>
      <c r="F25" s="2875">
        <f>'数据-取费表'!B48+'数据-取费表'!B49</f>
        <v>3.0499999999999999E-2</v>
      </c>
      <c r="G25" s="2839" t="s">
        <v>2292</v>
      </c>
      <c r="H25" s="2832"/>
      <c r="I25" s="2832"/>
      <c r="J25" s="2832"/>
      <c r="K25" s="2833"/>
    </row>
    <row r="26" spans="1:14" s="2117" customFormat="1" ht="13.5" customHeight="1">
      <c r="A26" s="2869" t="s">
        <v>1862</v>
      </c>
      <c r="B26" s="3055" t="s">
        <v>2838</v>
      </c>
      <c r="C26" s="2876">
        <f ca="1">C28</f>
        <v>148</v>
      </c>
      <c r="D26" s="465">
        <f ca="1">C27</f>
        <v>7.4200000000000002E-2</v>
      </c>
      <c r="E26" s="467" t="s">
        <v>495</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6"/>
      <c r="I26" s="2836"/>
      <c r="J26" s="2836"/>
      <c r="K26" s="2837"/>
    </row>
    <row r="27" spans="1:14" s="2119" customFormat="1" ht="13.5" customHeight="1">
      <c r="A27" s="801" t="s">
        <v>1857</v>
      </c>
      <c r="B27" s="2877" t="s">
        <v>496</v>
      </c>
      <c r="C27" s="2878">
        <f ca="1">ROUND((1+C25)*(((1+F26)^'数据-取费表'!B21)-1),4)</f>
        <v>7.4200000000000002E-2</v>
      </c>
      <c r="D27" s="470"/>
      <c r="E27" s="471"/>
      <c r="F27" s="472"/>
      <c r="G27" s="2593" t="str">
        <f>IF('数据-取费表'!B22&lt;=1,"（1+取得税费率/(1+5%)）×年利率×建设期","（1+取得税费率）/(1+5%)×((1+年利率)^建设期-1)")</f>
        <v>（1+取得税费率）/(1+5%)×((1+年利率)^建设期-1)</v>
      </c>
      <c r="H27" s="2834"/>
      <c r="I27" s="2834"/>
      <c r="J27" s="2834"/>
      <c r="K27" s="277"/>
    </row>
    <row r="28" spans="1:14" s="2119" customFormat="1" ht="13.5" customHeight="1">
      <c r="A28" s="801" t="s">
        <v>1858</v>
      </c>
      <c r="B28" s="2877" t="s">
        <v>2840</v>
      </c>
      <c r="C28" s="2879">
        <f ca="1">ROUND((C18+C19+C20+C23+C24)*((1+F26)^('数据-取费表'!B21/2)-1),0)</f>
        <v>148</v>
      </c>
      <c r="D28" s="470"/>
      <c r="E28" s="471"/>
      <c r="F28" s="472"/>
      <c r="G28" s="2593" t="str">
        <f>IF('数据-取费表'!B22&lt;=1,"（1）-（4）项×年利率×建设期÷2","（1）-（4）项×((1+年利率)^(建设期÷2)-1)")</f>
        <v>（1）-（4）项×((1+年利率)^(建设期÷2)-1)</v>
      </c>
      <c r="H28" s="2834"/>
      <c r="I28" s="2834"/>
      <c r="J28" s="2834"/>
      <c r="K28" s="277"/>
    </row>
    <row r="29" spans="1:14" s="2119" customFormat="1" ht="13.5" customHeight="1">
      <c r="A29" s="2880" t="s">
        <v>1863</v>
      </c>
      <c r="B29" s="2870" t="s">
        <v>497</v>
      </c>
      <c r="C29" s="2871">
        <f>ROUND(C6*F29/(1+'数据-取费表'!C42),0)</f>
        <v>3498</v>
      </c>
      <c r="D29" s="466"/>
      <c r="E29" s="466"/>
      <c r="F29" s="3056">
        <f>'数据-取费表'!B41</f>
        <v>5.6000000000000001E-2</v>
      </c>
      <c r="G29" s="2840" t="s">
        <v>498</v>
      </c>
      <c r="H29" s="2832"/>
      <c r="I29" s="2832"/>
      <c r="J29" s="2832"/>
      <c r="K29" s="2833"/>
    </row>
    <row r="30" spans="1:14" s="2120" customFormat="1" ht="13.5" customHeight="1">
      <c r="A30" s="1633" t="s">
        <v>1864</v>
      </c>
      <c r="B30" s="2881" t="s">
        <v>500</v>
      </c>
      <c r="C30" s="2876">
        <f ca="1">C31</f>
        <v>7818</v>
      </c>
      <c r="D30" s="475">
        <f ca="1">C32</f>
        <v>0.1032</v>
      </c>
      <c r="E30" s="467" t="s">
        <v>495</v>
      </c>
      <c r="F30" s="469"/>
      <c r="G30" s="2839" t="s">
        <v>2973</v>
      </c>
      <c r="H30" s="2832"/>
      <c r="I30" s="2832"/>
      <c r="J30" s="2832"/>
      <c r="K30" s="2833"/>
    </row>
    <row r="31" spans="1:14" s="2119" customFormat="1" ht="13.5" customHeight="1">
      <c r="A31" s="801" t="s">
        <v>1857</v>
      </c>
      <c r="B31" s="2877"/>
      <c r="C31" s="448">
        <f ca="1">C18+C19+C20+C23+C24+C26+C29</f>
        <v>7818</v>
      </c>
      <c r="D31" s="470"/>
      <c r="E31" s="471"/>
      <c r="F31" s="472"/>
      <c r="G31" s="259"/>
      <c r="H31" s="2834"/>
      <c r="I31" s="2834"/>
      <c r="J31" s="2834"/>
      <c r="K31" s="277"/>
    </row>
    <row r="32" spans="1:14" s="2119" customFormat="1" ht="13.5" customHeight="1">
      <c r="A32" s="801" t="s">
        <v>1858</v>
      </c>
      <c r="B32" s="2877"/>
      <c r="C32" s="51">
        <f ca="1">ROUND(C25+D26,4)</f>
        <v>0.1032</v>
      </c>
      <c r="D32" s="470"/>
      <c r="E32" s="471"/>
      <c r="F32" s="472"/>
      <c r="G32" s="259"/>
      <c r="H32" s="2834"/>
      <c r="I32" s="2834"/>
      <c r="J32" s="2834"/>
      <c r="K32" s="277"/>
    </row>
    <row r="33" spans="1:11" s="2121" customFormat="1" ht="13.5" customHeight="1">
      <c r="A33" s="3053" t="s">
        <v>2835</v>
      </c>
      <c r="B33" s="3051" t="s">
        <v>2833</v>
      </c>
      <c r="C33" s="476">
        <f ca="1">C35</f>
        <v>834</v>
      </c>
      <c r="D33" s="465">
        <f ca="1">C34</f>
        <v>0.20580000000000001</v>
      </c>
      <c r="E33" s="467" t="s">
        <v>495</v>
      </c>
      <c r="F33" s="477">
        <f ca="1">IF(B1="",'数据-取费表'!Q16,INDIRECT("'数据-取费表'!q"&amp;$K$1))</f>
        <v>0.2</v>
      </c>
      <c r="G33" s="2835"/>
      <c r="H33" s="2836"/>
      <c r="I33" s="2836"/>
      <c r="J33" s="2836"/>
      <c r="K33" s="2837"/>
    </row>
    <row r="34" spans="1:11" s="2122" customFormat="1" ht="13.5" customHeight="1">
      <c r="A34" s="373" t="s">
        <v>1857</v>
      </c>
      <c r="B34" s="2882" t="s">
        <v>501</v>
      </c>
      <c r="C34" s="470">
        <f ca="1">ROUND((1+C25)*F33,4)</f>
        <v>0.20580000000000001</v>
      </c>
      <c r="D34" s="470"/>
      <c r="E34" s="471"/>
      <c r="F34" s="478"/>
      <c r="G34" s="259" t="s">
        <v>2293</v>
      </c>
      <c r="H34" s="2834"/>
      <c r="I34" s="2834"/>
      <c r="J34" s="2834"/>
      <c r="K34" s="277"/>
    </row>
    <row r="35" spans="1:11" s="2122" customFormat="1" ht="13.5" customHeight="1" thickBot="1">
      <c r="A35" s="1634" t="s">
        <v>1858</v>
      </c>
      <c r="B35" s="3052" t="s">
        <v>2841</v>
      </c>
      <c r="C35" s="1626">
        <f ca="1">ROUND((C18+C19+C20+C23+C24)*F33,0)</f>
        <v>834</v>
      </c>
      <c r="D35" s="1627"/>
      <c r="E35" s="2883"/>
      <c r="F35" s="1628"/>
      <c r="G35" s="2841"/>
      <c r="H35" s="2842"/>
      <c r="I35" s="2842"/>
      <c r="J35" s="2842"/>
      <c r="K35" s="2843"/>
    </row>
    <row r="36" spans="1:11" s="2084" customFormat="1" ht="13.5" customHeight="1" thickBot="1">
      <c r="A36" s="282" t="s">
        <v>1845</v>
      </c>
      <c r="B36" s="2845"/>
      <c r="C36" s="2884">
        <f ca="1">ROUND((C6-C30-C33)/(1+D30+D33),0)</f>
        <v>43494</v>
      </c>
      <c r="D36" s="2845"/>
      <c r="E36" s="2845"/>
      <c r="F36" s="2845"/>
      <c r="G36" s="2844" t="s">
        <v>2842</v>
      </c>
      <c r="H36" s="2845"/>
      <c r="I36" s="2845"/>
      <c r="J36" s="2845"/>
      <c r="K36" s="2846"/>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sheetPr>
    <tabColor rgb="FFFF0000"/>
  </sheetPr>
  <dimension ref="A1:U58"/>
  <sheetViews>
    <sheetView tabSelected="1" topLeftCell="D16" zoomScale="90" zoomScaleNormal="90" workbookViewId="0">
      <selection activeCell="P18" sqref="P18"/>
    </sheetView>
  </sheetViews>
  <sheetFormatPr defaultRowHeight="13.5"/>
  <cols>
    <col min="1" max="1" width="13.125" customWidth="1"/>
    <col min="2" max="2" width="13.375" customWidth="1"/>
    <col min="3" max="4" width="12.625" customWidth="1"/>
    <col min="5" max="5" width="12.25" customWidth="1"/>
    <col min="6" max="6" width="10.5" customWidth="1"/>
    <col min="7" max="7" width="7.5" customWidth="1"/>
    <col min="8" max="8" width="11.625" customWidth="1"/>
    <col min="9" max="9" width="11.125" customWidth="1"/>
    <col min="11" max="11" width="9.875" customWidth="1"/>
    <col min="12" max="12" width="12.625" bestFit="1" customWidth="1"/>
    <col min="19" max="19" width="13.875" bestFit="1" customWidth="1"/>
  </cols>
  <sheetData>
    <row r="1" spans="1:16" s="3171" customFormat="1">
      <c r="A1" s="3174" t="s">
        <v>2991</v>
      </c>
      <c r="B1" s="3174" t="s">
        <v>2989</v>
      </c>
      <c r="C1" s="3174" t="s">
        <v>2990</v>
      </c>
      <c r="D1" s="3174" t="s">
        <v>3100</v>
      </c>
      <c r="E1" s="3174" t="s">
        <v>3101</v>
      </c>
    </row>
    <row r="2" spans="1:16" s="3171" customFormat="1">
      <c r="A2" s="3176" t="s">
        <v>2992</v>
      </c>
      <c r="B2" s="3172">
        <v>1280</v>
      </c>
      <c r="C2" s="3172">
        <v>0</v>
      </c>
      <c r="D2" s="3172">
        <f>B2</f>
        <v>1280</v>
      </c>
      <c r="E2" s="3172"/>
    </row>
    <row r="3" spans="1:16" s="3171" customFormat="1">
      <c r="A3" s="3176" t="s">
        <v>3098</v>
      </c>
      <c r="B3" s="3172">
        <v>0</v>
      </c>
      <c r="C3" s="3172">
        <v>1291.48</v>
      </c>
      <c r="D3" s="3172">
        <f>C3</f>
        <v>1291.48</v>
      </c>
      <c r="E3" s="3172"/>
      <c r="F3" s="3171">
        <f>D3-D2</f>
        <v>11.480000000000018</v>
      </c>
    </row>
    <row r="4" spans="1:16" s="3171" customFormat="1">
      <c r="A4" s="3176" t="s">
        <v>3099</v>
      </c>
      <c r="B4" s="3172">
        <v>415</v>
      </c>
      <c r="C4" s="3172">
        <v>0</v>
      </c>
      <c r="D4" s="3172">
        <f>B4</f>
        <v>415</v>
      </c>
      <c r="E4" s="3172"/>
    </row>
    <row r="5" spans="1:16" s="3171" customFormat="1">
      <c r="A5" s="3176" t="s">
        <v>3113</v>
      </c>
      <c r="B5" s="3172">
        <v>1313</v>
      </c>
      <c r="C5" s="3172">
        <v>1591.78</v>
      </c>
      <c r="D5" s="3172">
        <f>C5-B5</f>
        <v>278.77999999999997</v>
      </c>
      <c r="E5" s="3172"/>
      <c r="F5" s="3171">
        <f>D5-D4</f>
        <v>-136.22000000000003</v>
      </c>
    </row>
    <row r="6" spans="1:16" s="3171" customFormat="1" hidden="1">
      <c r="A6" s="3175" t="s">
        <v>2993</v>
      </c>
      <c r="B6" s="3173">
        <v>1313</v>
      </c>
      <c r="C6" s="3173">
        <v>1176.78</v>
      </c>
      <c r="D6" s="3173">
        <f>C6</f>
        <v>1176.78</v>
      </c>
      <c r="E6" s="3242">
        <f>C6-B6</f>
        <v>-136.22000000000003</v>
      </c>
      <c r="F6" s="3171">
        <v>136.22</v>
      </c>
    </row>
    <row r="7" spans="1:16" s="3171" customFormat="1">
      <c r="A7" s="3176"/>
      <c r="B7" s="3172"/>
      <c r="C7" s="3172"/>
      <c r="D7" s="3172"/>
      <c r="E7" s="3172"/>
    </row>
    <row r="8" spans="1:16" ht="15" customHeight="1"/>
    <row r="9" spans="1:16" s="3171" customFormat="1">
      <c r="A9" s="3190"/>
      <c r="B9" s="3191"/>
      <c r="C9" s="3191"/>
      <c r="D9" s="3191"/>
      <c r="E9" s="3241"/>
    </row>
    <row r="11" spans="1:16" ht="38.25" customHeight="1">
      <c r="A11" s="3597" t="s">
        <v>3004</v>
      </c>
      <c r="B11" s="3597"/>
      <c r="C11" s="3597"/>
      <c r="D11" s="3597"/>
      <c r="E11" s="3597"/>
      <c r="F11" s="3597"/>
      <c r="G11" s="3597"/>
      <c r="H11" s="3597"/>
      <c r="I11" s="3597"/>
      <c r="J11" s="3597"/>
      <c r="K11" s="3215"/>
    </row>
    <row r="12" spans="1:16" ht="57">
      <c r="A12" s="3179" t="s">
        <v>2994</v>
      </c>
      <c r="B12" s="3179" t="s">
        <v>2995</v>
      </c>
      <c r="C12" s="3179" t="s">
        <v>2996</v>
      </c>
      <c r="D12" s="3179" t="s">
        <v>2997</v>
      </c>
      <c r="E12" s="3179" t="s">
        <v>2998</v>
      </c>
      <c r="F12" s="3179" t="s">
        <v>3079</v>
      </c>
      <c r="G12" s="3179" t="s">
        <v>2999</v>
      </c>
      <c r="H12" s="3179" t="s">
        <v>3000</v>
      </c>
      <c r="I12" s="3179" t="s">
        <v>3001</v>
      </c>
      <c r="J12" s="3179" t="s">
        <v>2999</v>
      </c>
      <c r="K12" s="3179"/>
      <c r="L12" s="2"/>
      <c r="M12" s="2"/>
      <c r="N12" s="2"/>
      <c r="O12" s="2"/>
      <c r="P12" s="2"/>
    </row>
    <row r="13" spans="1:16" s="2" customFormat="1" ht="54" customHeight="1">
      <c r="A13" s="3595" t="s">
        <v>3094</v>
      </c>
      <c r="B13" s="3177" t="s">
        <v>3002</v>
      </c>
      <c r="C13" s="3178">
        <f ca="1">结果表!D20</f>
        <v>36761</v>
      </c>
      <c r="D13" s="3178">
        <f>结果表!D18</f>
        <v>0.5</v>
      </c>
      <c r="E13" s="3593">
        <f ca="1">ROUND(C13*D13+C14*D14,0)</f>
        <v>40128</v>
      </c>
      <c r="F13" s="3593">
        <f ca="1">ROUND(E13*B2/10000,2)</f>
        <v>5136.38</v>
      </c>
      <c r="G13" s="3593">
        <f ca="1">ROUND(E13*0.25,)</f>
        <v>10032</v>
      </c>
      <c r="H13" s="3593">
        <f ca="1">ROUND(G13*D2/10000,2)</f>
        <v>1284.0999999999999</v>
      </c>
      <c r="I13" s="3178"/>
      <c r="J13" s="3178">
        <f ca="1">ROUND(C13*0.25,0)</f>
        <v>9190</v>
      </c>
      <c r="K13" s="3213"/>
      <c r="M13" s="2">
        <f ca="1">C15-C13</f>
        <v>2500</v>
      </c>
    </row>
    <row r="14" spans="1:16" s="2" customFormat="1" ht="45.75" customHeight="1">
      <c r="A14" s="3596"/>
      <c r="B14" s="3177" t="s">
        <v>3003</v>
      </c>
      <c r="C14" s="3178">
        <f ca="1">结果表!C20</f>
        <v>43494</v>
      </c>
      <c r="D14" s="3178">
        <f>结果表!C18</f>
        <v>0.5</v>
      </c>
      <c r="E14" s="3594"/>
      <c r="F14" s="3594"/>
      <c r="G14" s="3594"/>
      <c r="H14" s="3594"/>
      <c r="I14" s="3178"/>
      <c r="J14" s="3178">
        <f ca="1">ROUND(C14*0.25,0)</f>
        <v>10874</v>
      </c>
      <c r="K14" s="3213"/>
      <c r="M14" s="2">
        <f ca="1">C16-C14</f>
        <v>2774</v>
      </c>
    </row>
    <row r="15" spans="1:16" s="2" customFormat="1" ht="45.75" customHeight="1">
      <c r="A15" s="3595" t="s">
        <v>3096</v>
      </c>
      <c r="B15" s="3177" t="s">
        <v>3002</v>
      </c>
      <c r="C15" s="3178">
        <f>[1]结果表!$D$20</f>
        <v>39261</v>
      </c>
      <c r="D15" s="3178">
        <f>D13</f>
        <v>0.5</v>
      </c>
      <c r="E15" s="3593">
        <f ca="1">ROUND(C15*D15+C16*D16,0)</f>
        <v>42765</v>
      </c>
      <c r="F15" s="3240">
        <f ca="1">ROUND(E15*D3/10000,2)</f>
        <v>5523.01</v>
      </c>
      <c r="G15" s="3593">
        <f ca="1">ROUND(E15*0.25,)</f>
        <v>10691</v>
      </c>
      <c r="H15" s="3593">
        <f ca="1">ROUND(G15*D3/10000,2)</f>
        <v>1380.72</v>
      </c>
      <c r="I15" s="3178"/>
      <c r="J15" s="3178">
        <f t="shared" ref="J15:J22" si="0">ROUND(C15*0.25,0)</f>
        <v>9815</v>
      </c>
      <c r="K15" s="3213"/>
    </row>
    <row r="16" spans="1:16" s="2" customFormat="1" ht="45.75" customHeight="1">
      <c r="A16" s="3596"/>
      <c r="B16" s="3177" t="s">
        <v>3003</v>
      </c>
      <c r="C16" s="3178">
        <f ca="1">[2]结果表!$C$20</f>
        <v>46268</v>
      </c>
      <c r="D16" s="3178">
        <f>D14</f>
        <v>0.5</v>
      </c>
      <c r="E16" s="3594"/>
      <c r="F16" s="3239"/>
      <c r="G16" s="3594"/>
      <c r="H16" s="3594"/>
      <c r="I16" s="3178"/>
      <c r="J16" s="3178">
        <f t="shared" ca="1" si="0"/>
        <v>11567</v>
      </c>
      <c r="K16" s="3213"/>
    </row>
    <row r="17" spans="1:20" s="2" customFormat="1" ht="45.75" customHeight="1">
      <c r="A17" s="3595" t="s">
        <v>3108</v>
      </c>
      <c r="B17" s="3177" t="s">
        <v>3002</v>
      </c>
      <c r="C17" s="3178">
        <f ca="1">基准地价!C37</f>
        <v>11028</v>
      </c>
      <c r="D17" s="3178">
        <f>D13</f>
        <v>0.5</v>
      </c>
      <c r="E17" s="3593">
        <f ca="1">ROUND(C17*D17+C18*D18,0)</f>
        <v>12038</v>
      </c>
      <c r="F17" s="3240">
        <f ca="1">ROUND(E17*D4/10000,2)</f>
        <v>499.58</v>
      </c>
      <c r="G17" s="3593">
        <f ca="1">ROUND(E17*0.25,)</f>
        <v>3010</v>
      </c>
      <c r="H17" s="3593">
        <f ca="1">ROUND(G17*D4/10000,2)</f>
        <v>124.92</v>
      </c>
      <c r="I17" s="3178"/>
      <c r="J17" s="3178">
        <f t="shared" ca="1" si="0"/>
        <v>2757</v>
      </c>
      <c r="K17" s="3213"/>
    </row>
    <row r="18" spans="1:20" s="2" customFormat="1" ht="45.75" customHeight="1">
      <c r="A18" s="3596"/>
      <c r="B18" s="3177" t="s">
        <v>3003</v>
      </c>
      <c r="C18" s="3178">
        <f ca="1">ROUND(C14*0.3,0)</f>
        <v>13048</v>
      </c>
      <c r="D18" s="3178">
        <f>D14</f>
        <v>0.5</v>
      </c>
      <c r="E18" s="3594"/>
      <c r="F18" s="3240"/>
      <c r="G18" s="3594"/>
      <c r="H18" s="3594"/>
      <c r="I18" s="3178"/>
      <c r="J18" s="3178">
        <f t="shared" ca="1" si="0"/>
        <v>3262</v>
      </c>
      <c r="K18" s="3213"/>
    </row>
    <row r="19" spans="1:20" s="2" customFormat="1" ht="45.75" hidden="1" customHeight="1">
      <c r="A19" s="3595" t="s">
        <v>3105</v>
      </c>
      <c r="B19" s="3177" t="s">
        <v>3002</v>
      </c>
      <c r="C19" s="3178"/>
      <c r="D19" s="3178">
        <f>D13</f>
        <v>0.5</v>
      </c>
      <c r="E19" s="3593">
        <f>ROUND(C19*D19+C20*D20,0)</f>
        <v>0</v>
      </c>
      <c r="F19" s="3240">
        <f>ROUND(E19*D5/10000,2)</f>
        <v>0</v>
      </c>
      <c r="G19" s="3593">
        <f>ROUND(E19*0.25,)</f>
        <v>0</v>
      </c>
      <c r="H19" s="3593">
        <f t="shared" ref="H19" si="1">ROUND(G19*D6/10000,2)</f>
        <v>0</v>
      </c>
      <c r="I19" s="3178"/>
      <c r="J19" s="3178">
        <f t="shared" si="0"/>
        <v>0</v>
      </c>
      <c r="K19" s="3213"/>
    </row>
    <row r="20" spans="1:20" s="2" customFormat="1" ht="45.75" hidden="1" customHeight="1">
      <c r="A20" s="3596"/>
      <c r="B20" s="3177" t="s">
        <v>3003</v>
      </c>
      <c r="C20" s="3178"/>
      <c r="D20" s="3178">
        <f>D14</f>
        <v>0.5</v>
      </c>
      <c r="E20" s="3594"/>
      <c r="F20" s="3240"/>
      <c r="G20" s="3594"/>
      <c r="H20" s="3594"/>
      <c r="I20" s="3178"/>
      <c r="J20" s="3178">
        <f t="shared" si="0"/>
        <v>0</v>
      </c>
      <c r="K20" s="3213"/>
    </row>
    <row r="21" spans="1:20" ht="45.75" customHeight="1">
      <c r="A21" s="3595" t="s">
        <v>3119</v>
      </c>
      <c r="B21" s="3177" t="s">
        <v>3002</v>
      </c>
      <c r="C21" s="3178">
        <f>[1]基准地价!$C$38</f>
        <v>11778</v>
      </c>
      <c r="D21" s="3178">
        <f>D15</f>
        <v>0.5</v>
      </c>
      <c r="E21" s="3593">
        <f ca="1">ROUND(C21*D21+C22*D22,0)</f>
        <v>12829</v>
      </c>
      <c r="F21" s="3593">
        <f ca="1">ROUND(E21*D5/10000,2)</f>
        <v>357.65</v>
      </c>
      <c r="G21" s="3593">
        <f ca="1">E21*0.25</f>
        <v>3207.25</v>
      </c>
      <c r="H21" s="3593">
        <f ca="1">ROUND(G21*D5/10000,2)</f>
        <v>89.41</v>
      </c>
      <c r="I21" s="3178"/>
      <c r="J21" s="3178">
        <f t="shared" si="0"/>
        <v>2945</v>
      </c>
      <c r="K21" s="3213"/>
    </row>
    <row r="22" spans="1:20" ht="45.75" customHeight="1">
      <c r="A22" s="3596"/>
      <c r="B22" s="3177" t="s">
        <v>3003</v>
      </c>
      <c r="C22" s="3178">
        <f ca="1">ROUND(C16*0.3,0)</f>
        <v>13880</v>
      </c>
      <c r="D22" s="3178">
        <f>D16</f>
        <v>0.5</v>
      </c>
      <c r="E22" s="3594"/>
      <c r="F22" s="3594"/>
      <c r="G22" s="3594"/>
      <c r="H22" s="3594"/>
      <c r="I22" s="3178"/>
      <c r="J22" s="3178">
        <f t="shared" ca="1" si="0"/>
        <v>3470</v>
      </c>
      <c r="K22" s="3213"/>
    </row>
    <row r="26" spans="1:20" ht="19.5" hidden="1" thickBot="1">
      <c r="A26" s="3203" t="s">
        <v>3069</v>
      </c>
      <c r="H26" s="2894" t="s">
        <v>3068</v>
      </c>
      <c r="N26" s="3208" t="s">
        <v>3071</v>
      </c>
    </row>
    <row r="27" spans="1:20" ht="42" hidden="1" customHeight="1" thickBot="1">
      <c r="A27" s="3531" t="s">
        <v>3050</v>
      </c>
      <c r="B27" s="3531" t="s">
        <v>3051</v>
      </c>
      <c r="C27" s="3192" t="s">
        <v>3052</v>
      </c>
      <c r="D27" s="3192" t="s">
        <v>3055</v>
      </c>
      <c r="E27" s="3192" t="s">
        <v>3058</v>
      </c>
      <c r="F27" s="3192" t="s">
        <v>3060</v>
      </c>
      <c r="H27" s="3531" t="s">
        <v>3050</v>
      </c>
      <c r="I27" s="3531" t="s">
        <v>3051</v>
      </c>
      <c r="J27" s="3192" t="s">
        <v>3063</v>
      </c>
      <c r="K27" s="3192" t="s">
        <v>3064</v>
      </c>
      <c r="L27" s="3531" t="s">
        <v>3065</v>
      </c>
      <c r="M27" s="3201"/>
      <c r="N27" s="3572" t="s">
        <v>3050</v>
      </c>
      <c r="O27" s="3575" t="s">
        <v>3051</v>
      </c>
      <c r="P27" s="3576"/>
      <c r="Q27" s="3204" t="s">
        <v>3063</v>
      </c>
      <c r="R27" s="3205" t="s">
        <v>3070</v>
      </c>
      <c r="S27" s="3205" t="s">
        <v>3071</v>
      </c>
      <c r="T27" s="3205" t="s">
        <v>3060</v>
      </c>
    </row>
    <row r="28" spans="1:20" ht="15" hidden="1" customHeight="1" thickBot="1">
      <c r="A28" s="3532"/>
      <c r="B28" s="3532"/>
      <c r="C28" s="3193" t="s">
        <v>3053</v>
      </c>
      <c r="D28" s="3193" t="s">
        <v>3056</v>
      </c>
      <c r="E28" s="3193" t="s">
        <v>3059</v>
      </c>
      <c r="F28" s="3193" t="s">
        <v>3057</v>
      </c>
      <c r="H28" s="3533"/>
      <c r="I28" s="3537"/>
      <c r="J28" s="3194" t="s">
        <v>3066</v>
      </c>
      <c r="K28" s="3194" t="s">
        <v>3067</v>
      </c>
      <c r="L28" s="3537"/>
      <c r="M28" s="3201"/>
      <c r="N28" s="3573"/>
      <c r="O28" s="3577"/>
      <c r="P28" s="3578"/>
      <c r="Q28" s="3499" t="s">
        <v>3072</v>
      </c>
      <c r="R28" s="3499" t="s">
        <v>3073</v>
      </c>
      <c r="S28" s="3206" t="s">
        <v>3058</v>
      </c>
      <c r="T28" s="3499" t="s">
        <v>3073</v>
      </c>
    </row>
    <row r="29" spans="1:20" ht="16.5" hidden="1" customHeight="1" thickBot="1">
      <c r="A29" s="3533"/>
      <c r="B29" s="3533"/>
      <c r="C29" s="3194" t="s">
        <v>3054</v>
      </c>
      <c r="D29" s="3194" t="s">
        <v>3057</v>
      </c>
      <c r="E29" s="3195"/>
      <c r="F29" s="3195"/>
      <c r="H29" s="3527" t="s">
        <v>2987</v>
      </c>
      <c r="I29" s="3535" t="s">
        <v>3077</v>
      </c>
      <c r="J29" s="3197">
        <v>11.48</v>
      </c>
      <c r="K29" s="3529">
        <f ca="1">G13</f>
        <v>10032</v>
      </c>
      <c r="L29" s="3510">
        <f ca="1">ROUND(K29*J29/10000,2)</f>
        <v>11.52</v>
      </c>
      <c r="M29" s="3571"/>
      <c r="N29" s="3574"/>
      <c r="O29" s="3579"/>
      <c r="P29" s="3580"/>
      <c r="Q29" s="3500"/>
      <c r="R29" s="3500"/>
      <c r="S29" s="3207" t="s">
        <v>3059</v>
      </c>
      <c r="T29" s="3500"/>
    </row>
    <row r="30" spans="1:20" ht="19.5" hidden="1" customHeight="1" thickBot="1">
      <c r="A30" s="3527" t="s">
        <v>2987</v>
      </c>
      <c r="B30" s="3527" t="s">
        <v>3077</v>
      </c>
      <c r="C30" s="3525">
        <v>11.48</v>
      </c>
      <c r="D30" s="3529">
        <f ca="1">E13</f>
        <v>40128</v>
      </c>
      <c r="E30" s="3529">
        <f ca="1">ROUND(D30*D2/10000,2)</f>
        <v>5136.38</v>
      </c>
      <c r="F30" s="3525" t="s">
        <v>2821</v>
      </c>
      <c r="H30" s="3528"/>
      <c r="I30" s="3536"/>
      <c r="J30" s="3198" t="s">
        <v>3061</v>
      </c>
      <c r="K30" s="3570"/>
      <c r="L30" s="3570"/>
      <c r="M30" s="3571"/>
      <c r="N30" s="3200" t="s">
        <v>2987</v>
      </c>
      <c r="O30" s="3198" t="s">
        <v>3076</v>
      </c>
      <c r="P30" s="3198" t="s">
        <v>3077</v>
      </c>
      <c r="Q30" s="3199">
        <v>11.48</v>
      </c>
      <c r="R30" s="3210">
        <f ca="1">E13</f>
        <v>40128</v>
      </c>
      <c r="S30" s="3210">
        <f ca="1">E30</f>
        <v>5136.38</v>
      </c>
      <c r="T30" s="3199" t="s">
        <v>2821</v>
      </c>
    </row>
    <row r="31" spans="1:20" ht="22.5" hidden="1" customHeight="1" thickBot="1">
      <c r="A31" s="3528"/>
      <c r="B31" s="3528"/>
      <c r="C31" s="3526"/>
      <c r="D31" s="3530"/>
      <c r="E31" s="3530"/>
      <c r="F31" s="3526"/>
      <c r="H31" s="3527" t="s">
        <v>3062</v>
      </c>
      <c r="I31" s="3535" t="s">
        <v>2985</v>
      </c>
      <c r="J31" s="3197">
        <v>136.22</v>
      </c>
      <c r="K31" s="3217" t="e">
        <f>#REF!</f>
        <v>#REF!</v>
      </c>
      <c r="L31" s="3217" t="e">
        <f>ROUND(K31*J31/10000,2)</f>
        <v>#REF!</v>
      </c>
      <c r="M31" s="3201"/>
      <c r="N31" s="3588" t="s">
        <v>27</v>
      </c>
      <c r="O31" s="3589"/>
      <c r="P31" s="3590"/>
      <c r="Q31" s="3202">
        <v>11.48</v>
      </c>
      <c r="R31" s="3199" t="s">
        <v>2821</v>
      </c>
      <c r="S31" s="3211">
        <f ca="1">S30</f>
        <v>5136.38</v>
      </c>
      <c r="T31" s="3199" t="s">
        <v>2821</v>
      </c>
    </row>
    <row r="32" spans="1:20" ht="36" hidden="1" customHeight="1" thickBot="1">
      <c r="A32" s="3527" t="s">
        <v>3062</v>
      </c>
      <c r="B32" s="3527" t="s">
        <v>2985</v>
      </c>
      <c r="C32" s="3525">
        <v>136.22</v>
      </c>
      <c r="D32" s="3529" t="e">
        <f>#REF!</f>
        <v>#REF!</v>
      </c>
      <c r="E32" s="3529" t="e">
        <f>ROUND(#REF!*E6/10000,2)</f>
        <v>#REF!</v>
      </c>
      <c r="F32" s="3525" t="s">
        <v>2821</v>
      </c>
      <c r="H32" s="3534"/>
      <c r="I32" s="3534"/>
      <c r="J32" s="3196" t="s">
        <v>3078</v>
      </c>
      <c r="K32" s="3220" t="s">
        <v>3082</v>
      </c>
      <c r="L32" s="3218"/>
      <c r="M32" s="3201"/>
      <c r="N32" s="3572" t="s">
        <v>3050</v>
      </c>
      <c r="O32" s="3556" t="s">
        <v>3051</v>
      </c>
      <c r="P32" s="3558"/>
      <c r="Q32" s="3194" t="s">
        <v>3063</v>
      </c>
      <c r="R32" s="3194" t="s">
        <v>3074</v>
      </c>
      <c r="S32" s="3194" t="s">
        <v>3071</v>
      </c>
      <c r="T32" s="3194" t="s">
        <v>3075</v>
      </c>
    </row>
    <row r="33" spans="1:21" ht="19.5" hidden="1" customHeight="1" thickBot="1">
      <c r="A33" s="3528"/>
      <c r="B33" s="3528"/>
      <c r="C33" s="3526"/>
      <c r="D33" s="3530"/>
      <c r="E33" s="3530"/>
      <c r="F33" s="3526"/>
      <c r="H33" s="3528"/>
      <c r="I33" s="3536"/>
      <c r="J33" s="3209"/>
      <c r="K33" s="3219"/>
      <c r="L33" s="3219"/>
      <c r="M33" s="3201"/>
      <c r="N33" s="3574"/>
      <c r="O33" s="3559"/>
      <c r="P33" s="3561"/>
      <c r="Q33" s="3194" t="s">
        <v>3066</v>
      </c>
      <c r="R33" s="3194" t="s">
        <v>3067</v>
      </c>
      <c r="S33" s="3194" t="s">
        <v>3065</v>
      </c>
      <c r="T33" s="3194" t="s">
        <v>3067</v>
      </c>
    </row>
    <row r="34" spans="1:21" ht="24.75" hidden="1" customHeight="1" thickBot="1">
      <c r="A34" s="3523" t="s">
        <v>24</v>
      </c>
      <c r="B34" s="3524"/>
      <c r="C34" s="3199">
        <f>C30+C32</f>
        <v>147.69999999999999</v>
      </c>
      <c r="D34" s="3199" t="s">
        <v>2821</v>
      </c>
      <c r="E34" s="3199" t="e">
        <f ca="1">E30+E32</f>
        <v>#REF!</v>
      </c>
      <c r="F34" s="3199" t="s">
        <v>2821</v>
      </c>
      <c r="H34" s="3506" t="s">
        <v>24</v>
      </c>
      <c r="I34" s="3507"/>
      <c r="J34" s="3581">
        <v>124.74</v>
      </c>
      <c r="K34" s="3510"/>
      <c r="L34" s="3591" t="e">
        <f ca="1">L31-L29</f>
        <v>#REF!</v>
      </c>
      <c r="M34" s="3571"/>
      <c r="N34" s="3587" t="s">
        <v>3062</v>
      </c>
      <c r="O34" s="3585" t="s">
        <v>3076</v>
      </c>
      <c r="P34" s="3583" t="s">
        <v>2985</v>
      </c>
      <c r="Q34" s="3525">
        <f>E6</f>
        <v>-136.22000000000003</v>
      </c>
      <c r="R34" s="3525" t="e">
        <f>D32</f>
        <v>#REF!</v>
      </c>
      <c r="S34" s="3210" t="e">
        <f>L31</f>
        <v>#REF!</v>
      </c>
      <c r="T34" s="3199" t="s">
        <v>2821</v>
      </c>
    </row>
    <row r="35" spans="1:21" ht="24" hidden="1" customHeight="1" thickBot="1">
      <c r="A35" s="3222"/>
      <c r="B35" s="3222"/>
      <c r="C35" s="3223"/>
      <c r="D35" s="3223"/>
      <c r="E35" s="3223"/>
      <c r="F35" s="3223"/>
      <c r="H35" s="3506"/>
      <c r="I35" s="3507"/>
      <c r="J35" s="3582"/>
      <c r="K35" s="3511"/>
      <c r="L35" s="3592"/>
      <c r="M35" s="3571"/>
      <c r="N35" s="3508"/>
      <c r="O35" s="3586"/>
      <c r="P35" s="3584"/>
      <c r="Q35" s="3526"/>
      <c r="R35" s="3526"/>
      <c r="S35" s="3224" t="s">
        <v>3081</v>
      </c>
      <c r="T35" s="3199"/>
    </row>
    <row r="36" spans="1:21" ht="25.5" hidden="1" customHeight="1" thickBot="1">
      <c r="H36" s="3508"/>
      <c r="I36" s="3509"/>
      <c r="J36" s="3198" t="s">
        <v>3078</v>
      </c>
      <c r="K36" s="3216"/>
      <c r="L36" s="3221" t="s">
        <v>3080</v>
      </c>
      <c r="M36" s="3571"/>
      <c r="N36" s="3588" t="s">
        <v>27</v>
      </c>
      <c r="O36" s="3589"/>
      <c r="P36" s="3590"/>
      <c r="Q36" s="3202">
        <v>136.22</v>
      </c>
      <c r="R36" s="3202" t="s">
        <v>2821</v>
      </c>
      <c r="S36" s="3211" t="e">
        <f ca="1">S30-S34</f>
        <v>#REF!</v>
      </c>
      <c r="T36" s="3199" t="s">
        <v>2821</v>
      </c>
      <c r="U36" s="3225" t="s">
        <v>3083</v>
      </c>
    </row>
    <row r="37" spans="1:21" ht="31.5" hidden="1" customHeight="1">
      <c r="N37" s="3556" t="s">
        <v>24</v>
      </c>
      <c r="O37" s="3557"/>
      <c r="P37" s="3558"/>
      <c r="Q37" s="3212">
        <v>124.74</v>
      </c>
      <c r="R37" s="3525" t="s">
        <v>2821</v>
      </c>
      <c r="S37" s="3226" t="e">
        <f ca="1">S36</f>
        <v>#REF!</v>
      </c>
      <c r="T37" s="3525" t="s">
        <v>2821</v>
      </c>
    </row>
    <row r="38" spans="1:21" ht="22.5" hidden="1" customHeight="1" thickBot="1">
      <c r="N38" s="3559"/>
      <c r="O38" s="3560"/>
      <c r="P38" s="3561"/>
      <c r="Q38" s="3194" t="s">
        <v>3078</v>
      </c>
      <c r="R38" s="3526"/>
      <c r="S38" s="3227" t="s">
        <v>3061</v>
      </c>
      <c r="T38" s="3526"/>
    </row>
    <row r="39" spans="1:21" ht="16.5" hidden="1" customHeight="1" thickBot="1"/>
    <row r="40" spans="1:21" ht="23.25" hidden="1" customHeight="1"/>
    <row r="41" spans="1:21" hidden="1"/>
    <row r="42" spans="1:21" hidden="1"/>
    <row r="44" spans="1:21" ht="19.5" thickBot="1">
      <c r="A44" s="3203" t="s">
        <v>3069</v>
      </c>
      <c r="H44" s="3243" t="s">
        <v>3068</v>
      </c>
      <c r="I44" s="3214"/>
      <c r="N44" s="3208" t="s">
        <v>3071</v>
      </c>
    </row>
    <row r="45" spans="1:21" ht="43.5" thickBot="1">
      <c r="A45" s="3517" t="s">
        <v>3050</v>
      </c>
      <c r="B45" s="3517" t="s">
        <v>3051</v>
      </c>
      <c r="C45" s="3244" t="s">
        <v>3052</v>
      </c>
      <c r="D45" s="3244" t="s">
        <v>3055</v>
      </c>
      <c r="E45" s="3244" t="s">
        <v>3058</v>
      </c>
      <c r="F45" s="3244" t="s">
        <v>3060</v>
      </c>
      <c r="H45" s="3254" t="s">
        <v>3050</v>
      </c>
      <c r="I45" s="3254" t="s">
        <v>3051</v>
      </c>
      <c r="J45" s="3244" t="s">
        <v>3063</v>
      </c>
      <c r="K45" s="3256" t="s">
        <v>3064</v>
      </c>
      <c r="L45" s="3550" t="s">
        <v>3065</v>
      </c>
      <c r="N45" s="3538" t="s">
        <v>3050</v>
      </c>
      <c r="O45" s="3540" t="s">
        <v>3051</v>
      </c>
      <c r="P45" s="3541"/>
      <c r="Q45" s="3250" t="s">
        <v>3063</v>
      </c>
      <c r="R45" s="3251" t="s">
        <v>3070</v>
      </c>
      <c r="S45" s="3251" t="s">
        <v>3097</v>
      </c>
      <c r="T45" s="3251" t="s">
        <v>3060</v>
      </c>
    </row>
    <row r="46" spans="1:21" ht="32.25" thickBot="1">
      <c r="A46" s="3518"/>
      <c r="B46" s="3518"/>
      <c r="C46" s="3245" t="s">
        <v>3053</v>
      </c>
      <c r="D46" s="3245" t="s">
        <v>3056</v>
      </c>
      <c r="E46" s="3245" t="s">
        <v>3059</v>
      </c>
      <c r="F46" s="3245" t="s">
        <v>3057</v>
      </c>
      <c r="H46" s="3255"/>
      <c r="I46" s="3255"/>
      <c r="J46" s="3257" t="s">
        <v>3072</v>
      </c>
      <c r="K46" s="3257" t="s">
        <v>3073</v>
      </c>
      <c r="L46" s="3551"/>
      <c r="N46" s="3539"/>
      <c r="O46" s="3542"/>
      <c r="P46" s="3543"/>
      <c r="Q46" s="3550" t="s">
        <v>3072</v>
      </c>
      <c r="R46" s="3550" t="s">
        <v>3073</v>
      </c>
      <c r="S46" s="3249" t="s">
        <v>3058</v>
      </c>
      <c r="T46" s="3550" t="s">
        <v>3073</v>
      </c>
    </row>
    <row r="47" spans="1:21" ht="18" customHeight="1" thickBot="1">
      <c r="A47" s="3519"/>
      <c r="B47" s="3519"/>
      <c r="C47" s="3246" t="s">
        <v>3054</v>
      </c>
      <c r="D47" s="3246" t="s">
        <v>3057</v>
      </c>
      <c r="E47" s="3247"/>
      <c r="F47" s="3248"/>
      <c r="H47" s="3520" t="s">
        <v>3128</v>
      </c>
      <c r="I47" s="3546" t="s">
        <v>3112</v>
      </c>
      <c r="J47" s="3544">
        <f>C3</f>
        <v>1291.48</v>
      </c>
      <c r="K47" s="3548">
        <f ca="1">G15</f>
        <v>10691</v>
      </c>
      <c r="L47" s="3598">
        <f ca="1">H15</f>
        <v>1380.72</v>
      </c>
      <c r="N47" s="3539"/>
      <c r="O47" s="3542"/>
      <c r="P47" s="3543"/>
      <c r="Q47" s="3551"/>
      <c r="R47" s="3551"/>
      <c r="S47" s="3252" t="s">
        <v>3059</v>
      </c>
      <c r="T47" s="3551"/>
    </row>
    <row r="48" spans="1:21" s="3297" customFormat="1" ht="25.5" customHeight="1" thickBot="1">
      <c r="A48" s="3512" t="s">
        <v>3128</v>
      </c>
      <c r="B48" s="3295" t="s">
        <v>3102</v>
      </c>
      <c r="C48" s="3296">
        <f>D3</f>
        <v>1291.48</v>
      </c>
      <c r="D48" s="3296">
        <f ca="1">E15</f>
        <v>42765</v>
      </c>
      <c r="E48" s="3296">
        <f ca="1">ROUND(D48*C48/10000,2)</f>
        <v>5523.01</v>
      </c>
      <c r="F48" s="3296" t="s">
        <v>2821</v>
      </c>
      <c r="H48" s="3521"/>
      <c r="I48" s="3547"/>
      <c r="J48" s="3545"/>
      <c r="K48" s="3549"/>
      <c r="L48" s="3599"/>
      <c r="N48" s="3600" t="s">
        <v>3128</v>
      </c>
      <c r="O48" s="3552" t="s">
        <v>3124</v>
      </c>
      <c r="P48" s="3553"/>
      <c r="Q48" s="3602" t="s">
        <v>2821</v>
      </c>
      <c r="R48" s="3604" t="str">
        <f>D51</f>
        <v>--</v>
      </c>
      <c r="S48" s="3606">
        <f ca="1">ROUND((E15*F3+(D48-D49)*D2)/10000,2)</f>
        <v>386.63</v>
      </c>
      <c r="T48" s="3608" t="s">
        <v>2821</v>
      </c>
    </row>
    <row r="49" spans="1:20" s="3297" customFormat="1" ht="15.75" customHeight="1" thickBot="1">
      <c r="A49" s="3516"/>
      <c r="B49" s="3512" t="s">
        <v>3103</v>
      </c>
      <c r="C49" s="3514">
        <f>D2</f>
        <v>1280</v>
      </c>
      <c r="D49" s="3514">
        <f ca="1">E13</f>
        <v>40128</v>
      </c>
      <c r="E49" s="3514">
        <f ca="1">F13</f>
        <v>5136.38</v>
      </c>
      <c r="F49" s="3514" t="s">
        <v>2821</v>
      </c>
      <c r="H49" s="3521"/>
      <c r="I49" s="3562" t="s">
        <v>3122</v>
      </c>
      <c r="J49" s="3564">
        <f>D2</f>
        <v>1280</v>
      </c>
      <c r="K49" s="3567">
        <f ca="1">G13</f>
        <v>10032</v>
      </c>
      <c r="L49" s="3610">
        <f ca="1">H13</f>
        <v>1284.0999999999999</v>
      </c>
      <c r="N49" s="3601"/>
      <c r="O49" s="3554"/>
      <c r="P49" s="3555"/>
      <c r="Q49" s="3603"/>
      <c r="R49" s="3605"/>
      <c r="S49" s="3607"/>
      <c r="T49" s="3609"/>
    </row>
    <row r="50" spans="1:20" s="3297" customFormat="1" ht="43.5" thickBot="1">
      <c r="A50" s="3516"/>
      <c r="B50" s="3513"/>
      <c r="C50" s="3515"/>
      <c r="D50" s="3515"/>
      <c r="E50" s="3515"/>
      <c r="F50" s="3515" t="s">
        <v>2821</v>
      </c>
      <c r="H50" s="3521"/>
      <c r="I50" s="3563"/>
      <c r="J50" s="3565"/>
      <c r="K50" s="3568"/>
      <c r="L50" s="3568"/>
      <c r="N50" s="3298" t="s">
        <v>3129</v>
      </c>
      <c r="O50" s="3554" t="s">
        <v>3125</v>
      </c>
      <c r="P50" s="3555"/>
      <c r="Q50" s="3299" t="s">
        <v>2821</v>
      </c>
      <c r="R50" s="3300" t="str">
        <f>D54</f>
        <v>--</v>
      </c>
      <c r="S50" s="3301">
        <f ca="1">ROUND((E21*F5+(E21-E17)*D4)/10000,2)</f>
        <v>-141.93</v>
      </c>
      <c r="T50" s="3302" t="s">
        <v>2821</v>
      </c>
    </row>
    <row r="51" spans="1:20" s="3297" customFormat="1" ht="43.5" thickBot="1">
      <c r="A51" s="3516"/>
      <c r="B51" s="3303" t="s">
        <v>3126</v>
      </c>
      <c r="C51" s="3300" t="s">
        <v>2821</v>
      </c>
      <c r="D51" s="3300" t="s">
        <v>2821</v>
      </c>
      <c r="E51" s="3300">
        <f ca="1">E48-E49</f>
        <v>386.63000000000011</v>
      </c>
      <c r="F51" s="3304" t="s">
        <v>3107</v>
      </c>
      <c r="H51" s="3521"/>
      <c r="I51" s="3563"/>
      <c r="J51" s="3566"/>
      <c r="K51" s="3569"/>
      <c r="L51" s="3569"/>
      <c r="Q51" s="3333"/>
    </row>
    <row r="52" spans="1:20" s="3297" customFormat="1" ht="43.5" thickBot="1">
      <c r="A52" s="3501" t="s">
        <v>3129</v>
      </c>
      <c r="B52" s="3303" t="s">
        <v>3120</v>
      </c>
      <c r="C52" s="3300">
        <f>D5</f>
        <v>278.77999999999997</v>
      </c>
      <c r="D52" s="3300">
        <f ca="1">E21</f>
        <v>12829</v>
      </c>
      <c r="E52" s="3300">
        <f ca="1">ROUND(D52*C52/10000,2)</f>
        <v>357.65</v>
      </c>
      <c r="F52" s="3300"/>
      <c r="H52" s="3522"/>
      <c r="I52" s="3305" t="s">
        <v>3126</v>
      </c>
      <c r="J52" s="3306" t="s">
        <v>2821</v>
      </c>
      <c r="K52" s="3307" t="s">
        <v>2821</v>
      </c>
      <c r="L52" s="3308">
        <f ca="1">L47-L49</f>
        <v>96.620000000000118</v>
      </c>
    </row>
    <row r="53" spans="1:20" s="3297" customFormat="1" ht="45.75" customHeight="1" thickBot="1">
      <c r="A53" s="3502"/>
      <c r="B53" s="3303" t="s">
        <v>3106</v>
      </c>
      <c r="C53" s="3300">
        <f>D4</f>
        <v>415</v>
      </c>
      <c r="D53" s="3300">
        <f ca="1">E17</f>
        <v>12038</v>
      </c>
      <c r="E53" s="3300">
        <f ca="1">ROUND(D53*C53/10000,2)</f>
        <v>499.58</v>
      </c>
      <c r="F53" s="3300" t="s">
        <v>2821</v>
      </c>
      <c r="H53" s="3521" t="s">
        <v>3129</v>
      </c>
      <c r="I53" s="3309" t="s">
        <v>3123</v>
      </c>
      <c r="J53" s="3306">
        <f>D5</f>
        <v>278.77999999999997</v>
      </c>
      <c r="K53" s="3307">
        <f ca="1">G21</f>
        <v>3207.25</v>
      </c>
      <c r="L53" s="3310">
        <f ca="1">H21</f>
        <v>89.41</v>
      </c>
    </row>
    <row r="54" spans="1:20" s="3297" customFormat="1" ht="43.5" thickBot="1">
      <c r="A54" s="3503"/>
      <c r="B54" s="3303" t="s">
        <v>3127</v>
      </c>
      <c r="C54" s="3300" t="s">
        <v>2821</v>
      </c>
      <c r="D54" s="3300" t="s">
        <v>2821</v>
      </c>
      <c r="E54" s="3300">
        <f ca="1">E52-E53</f>
        <v>-141.93</v>
      </c>
      <c r="F54" s="3300" t="s">
        <v>2821</v>
      </c>
      <c r="H54" s="3521"/>
      <c r="I54" s="3311" t="s">
        <v>3104</v>
      </c>
      <c r="J54" s="3312">
        <f>D4</f>
        <v>415</v>
      </c>
      <c r="K54" s="3299">
        <f ca="1">G17</f>
        <v>3010</v>
      </c>
      <c r="L54" s="3313">
        <f ca="1">H17</f>
        <v>124.92</v>
      </c>
    </row>
    <row r="55" spans="1:20" s="3297" customFormat="1" ht="57.75" thickBot="1">
      <c r="H55" s="3522"/>
      <c r="I55" s="3305" t="s">
        <v>3127</v>
      </c>
      <c r="J55" s="3306" t="s">
        <v>2821</v>
      </c>
      <c r="K55" s="3307" t="s">
        <v>2821</v>
      </c>
      <c r="L55" s="3310">
        <f ca="1">L53-L54</f>
        <v>-35.510000000000005</v>
      </c>
    </row>
    <row r="56" spans="1:20" s="3297" customFormat="1" ht="30.75" customHeight="1" thickBot="1">
      <c r="H56" s="3504" t="s">
        <v>3121</v>
      </c>
      <c r="I56" s="3505"/>
      <c r="J56" s="3312" t="s">
        <v>2821</v>
      </c>
      <c r="K56" s="3299" t="s">
        <v>2821</v>
      </c>
      <c r="L56" s="3314">
        <f ca="1">L52+L55</f>
        <v>61.110000000000113</v>
      </c>
    </row>
    <row r="57" spans="1:20" s="3297" customFormat="1" ht="27" customHeight="1"/>
    <row r="58" spans="1:20" ht="13.5" customHeight="1">
      <c r="I58" s="3294"/>
    </row>
  </sheetData>
  <mergeCells count="103">
    <mergeCell ref="E32:E33"/>
    <mergeCell ref="F32:F33"/>
    <mergeCell ref="C32:C33"/>
    <mergeCell ref="E30:E31"/>
    <mergeCell ref="F30:F31"/>
    <mergeCell ref="B32:B33"/>
    <mergeCell ref="A30:A31"/>
    <mergeCell ref="A32:A33"/>
    <mergeCell ref="T46:T47"/>
    <mergeCell ref="L47:L48"/>
    <mergeCell ref="N48:N49"/>
    <mergeCell ref="Q48:Q49"/>
    <mergeCell ref="R48:R49"/>
    <mergeCell ref="S48:S49"/>
    <mergeCell ref="T48:T49"/>
    <mergeCell ref="L49:L51"/>
    <mergeCell ref="L45:L46"/>
    <mergeCell ref="O50:P50"/>
    <mergeCell ref="G21:G22"/>
    <mergeCell ref="H21:H22"/>
    <mergeCell ref="F21:F22"/>
    <mergeCell ref="A13:A14"/>
    <mergeCell ref="A11:J11"/>
    <mergeCell ref="E13:E14"/>
    <mergeCell ref="E21:E22"/>
    <mergeCell ref="A15:A16"/>
    <mergeCell ref="E15:E16"/>
    <mergeCell ref="A17:A18"/>
    <mergeCell ref="G15:G16"/>
    <mergeCell ref="H15:H16"/>
    <mergeCell ref="F13:F14"/>
    <mergeCell ref="G13:G14"/>
    <mergeCell ref="H13:H14"/>
    <mergeCell ref="A19:A20"/>
    <mergeCell ref="E19:E20"/>
    <mergeCell ref="E17:E18"/>
    <mergeCell ref="G17:G18"/>
    <mergeCell ref="H17:H18"/>
    <mergeCell ref="G19:G20"/>
    <mergeCell ref="A21:A22"/>
    <mergeCell ref="H19:H20"/>
    <mergeCell ref="T37:T38"/>
    <mergeCell ref="J34:J35"/>
    <mergeCell ref="R34:R35"/>
    <mergeCell ref="Q34:Q35"/>
    <mergeCell ref="P34:P35"/>
    <mergeCell ref="O34:O35"/>
    <mergeCell ref="N34:N35"/>
    <mergeCell ref="N31:P31"/>
    <mergeCell ref="N32:N33"/>
    <mergeCell ref="O32:P33"/>
    <mergeCell ref="L34:L35"/>
    <mergeCell ref="M34:M36"/>
    <mergeCell ref="N36:P36"/>
    <mergeCell ref="R37:R38"/>
    <mergeCell ref="T28:T29"/>
    <mergeCell ref="H27:H28"/>
    <mergeCell ref="I27:I28"/>
    <mergeCell ref="L27:L28"/>
    <mergeCell ref="I29:I30"/>
    <mergeCell ref="R28:R29"/>
    <mergeCell ref="N45:N47"/>
    <mergeCell ref="O45:P47"/>
    <mergeCell ref="J47:J48"/>
    <mergeCell ref="I47:I48"/>
    <mergeCell ref="K47:K48"/>
    <mergeCell ref="Q46:Q47"/>
    <mergeCell ref="O48:P49"/>
    <mergeCell ref="R46:R47"/>
    <mergeCell ref="N37:P38"/>
    <mergeCell ref="I49:I51"/>
    <mergeCell ref="J49:J51"/>
    <mergeCell ref="K49:K51"/>
    <mergeCell ref="K29:K30"/>
    <mergeCell ref="L29:L30"/>
    <mergeCell ref="H29:H30"/>
    <mergeCell ref="M29:M30"/>
    <mergeCell ref="N27:N29"/>
    <mergeCell ref="O27:P29"/>
    <mergeCell ref="Q28:Q29"/>
    <mergeCell ref="A52:A54"/>
    <mergeCell ref="H56:I56"/>
    <mergeCell ref="H34:I36"/>
    <mergeCell ref="K34:K35"/>
    <mergeCell ref="B49:B50"/>
    <mergeCell ref="C49:C50"/>
    <mergeCell ref="D49:D50"/>
    <mergeCell ref="E49:E50"/>
    <mergeCell ref="F49:F50"/>
    <mergeCell ref="A48:A51"/>
    <mergeCell ref="A45:A47"/>
    <mergeCell ref="B45:B47"/>
    <mergeCell ref="H47:H52"/>
    <mergeCell ref="H53:H55"/>
    <mergeCell ref="A34:B34"/>
    <mergeCell ref="C30:C31"/>
    <mergeCell ref="B30:B31"/>
    <mergeCell ref="D30:D31"/>
    <mergeCell ref="A27:A29"/>
    <mergeCell ref="B27:B29"/>
    <mergeCell ref="H31:H33"/>
    <mergeCell ref="I31:I33"/>
    <mergeCell ref="D32:D33"/>
  </mergeCells>
  <phoneticPr fontId="23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334" t="str">
        <f>项目基本情况!B1</f>
        <v>北京市出让国有建设用地使用权市场价格预评估</v>
      </c>
      <c r="C37" s="3334"/>
      <c r="D37" s="3334"/>
      <c r="E37" s="3334"/>
      <c r="F37" s="3334"/>
      <c r="G37" s="3334"/>
      <c r="H37" s="3334"/>
      <c r="I37" s="3334"/>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陈颖、杨红英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B19" sqref="B1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466</v>
      </c>
      <c r="B1" s="2828" t="s">
        <v>1678</v>
      </c>
      <c r="C1" s="2103"/>
      <c r="D1" s="2103"/>
      <c r="E1" s="2103"/>
      <c r="F1" s="2103"/>
      <c r="G1" s="2103"/>
      <c r="H1" s="2103"/>
      <c r="I1" s="2103"/>
      <c r="J1" s="2103"/>
      <c r="K1" s="420">
        <f>MATCH(B1,'数据-取费表'!A6:A16,0)+5</f>
        <v>6</v>
      </c>
    </row>
    <row r="2" spans="1:41" s="2040" customFormat="1" ht="18" customHeight="1">
      <c r="A2" s="421" t="s">
        <v>467</v>
      </c>
      <c r="B2" s="422">
        <f ca="1">C32</f>
        <v>46630.177970279576</v>
      </c>
      <c r="C2" s="2103"/>
      <c r="D2" s="2103"/>
      <c r="E2" s="2103"/>
      <c r="F2" s="2103"/>
      <c r="G2" s="2103"/>
      <c r="H2" s="2103"/>
      <c r="I2" s="2103"/>
      <c r="J2" s="2103"/>
      <c r="K2" s="2103"/>
    </row>
    <row r="3" spans="1:41" s="2040" customFormat="1" ht="18" customHeight="1">
      <c r="A3" s="1377" t="s">
        <v>1685</v>
      </c>
      <c r="B3" s="423">
        <f ca="1">ROUND(B2*10000/IF(B1="",'数据-汇总表'!E3,INDIRECT("'数据-取费表'!K"&amp;$K$1)),0)</f>
        <v>46630</v>
      </c>
      <c r="C3" s="2103"/>
      <c r="D3" s="2103"/>
      <c r="E3" s="2103"/>
      <c r="F3" s="2103"/>
      <c r="G3" s="2103"/>
      <c r="H3" s="2103"/>
      <c r="I3" s="2103"/>
      <c r="J3" s="2103"/>
      <c r="K3" s="2103"/>
    </row>
    <row r="4" spans="1:41" s="2040" customFormat="1" ht="18" customHeight="1">
      <c r="A4" s="424" t="s">
        <v>468</v>
      </c>
      <c r="B4" s="425">
        <f ca="1">ROUND(B2*10000/IF(B1="",'数据-汇总表'!D3,INDIRECT("'数据-取费表'!R"&amp;$K$1)),0)</f>
        <v>224284</v>
      </c>
      <c r="C4" s="2060"/>
      <c r="D4" s="2103"/>
      <c r="E4" s="2103"/>
      <c r="F4" s="2103"/>
      <c r="G4" s="2103"/>
      <c r="H4" s="2103"/>
      <c r="I4" s="2103"/>
      <c r="J4" s="2103"/>
      <c r="K4" s="2103"/>
    </row>
    <row r="5" spans="1:41" s="2040" customFormat="1" ht="18" customHeight="1" thickBot="1">
      <c r="A5" s="427"/>
      <c r="B5" s="428">
        <f ca="1">ROUND(B2/(IF(B1="",'数据-汇总表'!D3,INDIRECT("'数据-取费表'!R"&amp;$K$1))/666.67),0)</f>
        <v>14952</v>
      </c>
      <c r="C5" s="429" t="s">
        <v>469</v>
      </c>
      <c r="D5" s="2103"/>
      <c r="E5" s="2103"/>
      <c r="F5" s="2103"/>
      <c r="G5" s="2103"/>
      <c r="H5" s="2103"/>
      <c r="I5" s="2103"/>
      <c r="J5" s="2103"/>
      <c r="K5" s="2103"/>
    </row>
    <row r="6" spans="1:41" s="2110" customFormat="1" ht="16.5" customHeight="1">
      <c r="A6" s="430" t="s">
        <v>2656</v>
      </c>
      <c r="B6" s="431"/>
      <c r="C6" s="1621">
        <f>SUM(C10:K10)</f>
        <v>65586</v>
      </c>
      <c r="D6" s="2108"/>
      <c r="E6" s="2108"/>
      <c r="F6" s="2108"/>
      <c r="G6" s="2108"/>
      <c r="H6" s="2108"/>
      <c r="I6" s="2108"/>
      <c r="J6" s="2108"/>
      <c r="K6" s="2109"/>
    </row>
    <row r="7" spans="1:41" s="2112" customFormat="1" ht="15">
      <c r="A7" s="432" t="s">
        <v>470</v>
      </c>
      <c r="B7" s="433"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6" t="s">
        <v>472</v>
      </c>
      <c r="C8" s="437">
        <f>'不动产比较法-办公'!C50</f>
        <v>65586</v>
      </c>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C8</f>
        <v>65586</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2" t="s">
        <v>470</v>
      </c>
      <c r="B12" s="442" t="s">
        <v>471</v>
      </c>
      <c r="C12" s="443" t="s">
        <v>475</v>
      </c>
      <c r="D12" s="444" t="s">
        <v>476</v>
      </c>
      <c r="E12" s="444" t="s">
        <v>477</v>
      </c>
      <c r="F12" s="444" t="s">
        <v>478</v>
      </c>
      <c r="G12" s="442"/>
      <c r="H12" s="445"/>
      <c r="I12" s="445"/>
      <c r="J12" s="445"/>
      <c r="K12" s="446"/>
    </row>
    <row r="13" spans="1:41" s="2115" customFormat="1" ht="13.5" customHeight="1">
      <c r="A13" s="1631" t="s">
        <v>1849</v>
      </c>
      <c r="B13" s="447" t="s">
        <v>479</v>
      </c>
      <c r="C13" s="448">
        <f ca="1">IF(B1="",'数据-取费表'!M16,INDIRECT("'数据-取费表'!M"&amp;$K$1)+INDIRECT("'数据-取费表'!t"&amp;$K$1))</f>
        <v>2300</v>
      </c>
      <c r="D13" s="449"/>
      <c r="E13" s="363"/>
      <c r="F13" s="450"/>
      <c r="G13" s="442"/>
      <c r="H13" s="445"/>
      <c r="I13" s="445"/>
      <c r="J13" s="445"/>
      <c r="K13" s="446"/>
    </row>
    <row r="14" spans="1:41" s="2115" customFormat="1" ht="13.5" customHeight="1">
      <c r="A14" s="1631" t="s">
        <v>1850</v>
      </c>
      <c r="B14" s="447" t="s">
        <v>480</v>
      </c>
      <c r="C14" s="51">
        <f ca="1">ROUND(C13*F14,0)</f>
        <v>69</v>
      </c>
      <c r="D14" s="449"/>
      <c r="E14" s="363"/>
      <c r="F14" s="451">
        <f>'数据-取费表'!B33</f>
        <v>0.03</v>
      </c>
      <c r="G14" s="442" t="s">
        <v>502</v>
      </c>
      <c r="H14" s="445"/>
      <c r="I14" s="445"/>
      <c r="J14" s="445"/>
      <c r="K14" s="446"/>
    </row>
    <row r="15" spans="1:41" s="2115" customFormat="1" ht="13.5" customHeight="1">
      <c r="A15" s="1631"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6" customFormat="1" ht="13.5" customHeight="1">
      <c r="A16" s="1631"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7" t="s">
        <v>485</v>
      </c>
      <c r="C17" s="452">
        <f ca="1">ROUND(C13*F17,0)</f>
        <v>35</v>
      </c>
      <c r="D17" s="453"/>
      <c r="E17" s="452"/>
      <c r="F17" s="454">
        <f>'数据-取费表'!B36</f>
        <v>1.4999999999999999E-2</v>
      </c>
      <c r="G17" s="442" t="s">
        <v>502</v>
      </c>
      <c r="H17" s="455"/>
      <c r="I17" s="455"/>
      <c r="J17" s="455"/>
      <c r="K17" s="456"/>
    </row>
    <row r="18" spans="1:14" s="2118" customFormat="1" ht="13.5" customHeight="1">
      <c r="A18" s="1632" t="s">
        <v>1854</v>
      </c>
      <c r="B18" s="457" t="s">
        <v>487</v>
      </c>
      <c r="C18" s="458">
        <f ca="1">SUM(C13:C17)</f>
        <v>2604</v>
      </c>
      <c r="D18" s="459"/>
      <c r="E18" s="460"/>
      <c r="F18" s="460"/>
      <c r="G18" s="1324" t="s">
        <v>2436</v>
      </c>
      <c r="H18" s="445"/>
      <c r="I18" s="445"/>
      <c r="J18" s="445"/>
      <c r="K18" s="446"/>
    </row>
    <row r="19" spans="1:14" s="2118" customFormat="1" ht="13.5" customHeight="1">
      <c r="A19" s="1632" t="s">
        <v>1855</v>
      </c>
      <c r="B19" s="457" t="s">
        <v>493</v>
      </c>
      <c r="C19" s="458">
        <f ca="1">ROUND(C18*F19,0)</f>
        <v>52</v>
      </c>
      <c r="D19" s="460"/>
      <c r="E19" s="460"/>
      <c r="F19" s="464">
        <f>'数据-取费表'!B37</f>
        <v>0.02</v>
      </c>
      <c r="G19" s="442" t="s">
        <v>503</v>
      </c>
      <c r="H19" s="445"/>
      <c r="I19" s="445"/>
      <c r="J19" s="445"/>
      <c r="K19" s="446"/>
      <c r="L19" s="2120"/>
      <c r="M19" s="2120"/>
      <c r="N19" s="2120"/>
    </row>
    <row r="20" spans="1:14" s="2118" customFormat="1" ht="13.5" customHeight="1">
      <c r="A20" s="1632" t="s">
        <v>1856</v>
      </c>
      <c r="B20" s="457" t="s">
        <v>504</v>
      </c>
      <c r="C20" s="3049">
        <f>F20</f>
        <v>0.02</v>
      </c>
      <c r="D20" s="467" t="s">
        <v>505</v>
      </c>
      <c r="E20" s="467"/>
      <c r="F20" s="484">
        <f>'数据-取费表'!B38</f>
        <v>0.02</v>
      </c>
      <c r="G20" s="1324" t="s">
        <v>506</v>
      </c>
      <c r="H20" s="445"/>
      <c r="I20" s="445"/>
      <c r="J20" s="445"/>
      <c r="K20" s="446"/>
      <c r="L20" s="2120"/>
      <c r="M20" s="2120"/>
      <c r="N20" s="2120"/>
    </row>
    <row r="21" spans="1:14" s="2120" customFormat="1" ht="13.5" customHeight="1">
      <c r="A21" s="1632" t="s">
        <v>1859</v>
      </c>
      <c r="B21" s="459" t="s">
        <v>494</v>
      </c>
      <c r="C21" s="468">
        <f ca="1">C22</f>
        <v>94</v>
      </c>
      <c r="D21" s="465">
        <f ca="1">C23</f>
        <v>6.9999999999999999E-4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7" t="s">
        <v>2458</v>
      </c>
    </row>
    <row r="22" spans="1:14" s="2119" customFormat="1" ht="13.5" customHeight="1">
      <c r="A22" s="1631" t="s">
        <v>1849</v>
      </c>
      <c r="B22" s="1325" t="s">
        <v>2439</v>
      </c>
      <c r="C22" s="485">
        <f ca="1">ROUND(IF('数据-取费表'!B22&lt;=1,(C18+C19)*F21*'数据-取费表'!B20/2,(C18+C19)*(POWER((1+F21),'数据-取费表'!B20/2)-1)),0)</f>
        <v>94</v>
      </c>
      <c r="D22" s="470"/>
      <c r="E22" s="471"/>
      <c r="F22" s="472"/>
      <c r="G22" s="2588" t="str">
        <f>IF('数据-取费表'!B22&lt;=1,"((1)+(2))×年利率×建设期÷2","((1)+(2))×((1+年利率)^(建设期÷2)-1)")</f>
        <v>((1)+(2))×((1+年利率)^(建设期÷2)-1)</v>
      </c>
      <c r="H22" s="455"/>
      <c r="I22" s="455"/>
      <c r="J22" s="455"/>
      <c r="K22" s="456"/>
    </row>
    <row r="23" spans="1:14" s="2119" customFormat="1" ht="13.5" customHeight="1">
      <c r="A23" s="1631" t="s">
        <v>1850</v>
      </c>
      <c r="B23" s="1325" t="s">
        <v>508</v>
      </c>
      <c r="C23" s="486">
        <f ca="1">ROUND(IF('数据-取费表'!B22&lt;=1,F20*F21*'数据-取费表'!B20/2,F20*(POWER((1+F21),'数据-取费表'!B20/2)-1)),4)</f>
        <v>6.9999999999999999E-4</v>
      </c>
      <c r="D23" s="470"/>
      <c r="E23" s="471"/>
      <c r="F23" s="472"/>
      <c r="G23" s="2588" t="str">
        <f>IF('数据-取费表'!B22&lt;=1,"销售费用率×年利率×建设期÷2","销售费用率×((1+年利率)^(建设期÷2)-1)")</f>
        <v>销售费用率×((1+年利率)^(建设期÷2)-1)</v>
      </c>
      <c r="H23" s="455"/>
      <c r="I23" s="455"/>
      <c r="J23" s="455"/>
      <c r="K23" s="456"/>
    </row>
    <row r="24" spans="1:14" s="2119" customFormat="1" ht="13.5" customHeight="1">
      <c r="A24" s="1632" t="s">
        <v>1860</v>
      </c>
      <c r="B24" s="3051" t="s">
        <v>2834</v>
      </c>
      <c r="C24" s="476">
        <f ca="1">C25</f>
        <v>531</v>
      </c>
      <c r="D24" s="487">
        <f ca="1">C26</f>
        <v>4.0000000000000001E-3</v>
      </c>
      <c r="E24" s="467" t="s">
        <v>507</v>
      </c>
      <c r="F24" s="477">
        <f ca="1">IF(B1="",'数据-取费表'!Q16,INDIRECT("'数据-取费表'!q"&amp;$K$1))</f>
        <v>0.2</v>
      </c>
      <c r="G24" s="442"/>
      <c r="H24" s="445"/>
      <c r="I24" s="445"/>
      <c r="J24" s="445"/>
      <c r="K24" s="446"/>
    </row>
    <row r="25" spans="1:14" s="2119" customFormat="1" ht="13.5" customHeight="1">
      <c r="A25" s="1631" t="s">
        <v>1849</v>
      </c>
      <c r="B25" s="1325" t="s">
        <v>2440</v>
      </c>
      <c r="C25" s="488">
        <f ca="1">ROUND((C18+C19)*F24,0)</f>
        <v>531</v>
      </c>
      <c r="D25" s="470"/>
      <c r="E25" s="471"/>
      <c r="F25" s="478"/>
      <c r="G25" s="1323" t="s">
        <v>2437</v>
      </c>
      <c r="H25" s="455"/>
      <c r="I25" s="455"/>
      <c r="J25" s="455"/>
      <c r="K25" s="456"/>
    </row>
    <row r="26" spans="1:14" s="2119" customFormat="1" ht="13.5" customHeight="1">
      <c r="A26" s="1631" t="s">
        <v>1850</v>
      </c>
      <c r="B26" s="1325" t="s">
        <v>509</v>
      </c>
      <c r="C26" s="489">
        <f ca="1">ROUND(F20*F24,4)</f>
        <v>4.0000000000000001E-3</v>
      </c>
      <c r="D26" s="470"/>
      <c r="E26" s="479"/>
      <c r="F26" s="478"/>
      <c r="G26" s="1323" t="s">
        <v>510</v>
      </c>
      <c r="H26" s="455"/>
      <c r="I26" s="455"/>
      <c r="J26" s="455"/>
      <c r="K26" s="456"/>
    </row>
    <row r="27" spans="1:14" s="2119" customFormat="1" ht="13.5" customHeight="1">
      <c r="A27" s="1635" t="s">
        <v>1868</v>
      </c>
      <c r="B27" s="457" t="s">
        <v>511</v>
      </c>
      <c r="C27" s="3050">
        <f>ROUND(F27/(1+'数据-取费表'!C42),4)</f>
        <v>5.33E-2</v>
      </c>
      <c r="D27" s="460" t="s">
        <v>2832</v>
      </c>
      <c r="E27" s="460"/>
      <c r="F27" s="464">
        <f>'数据-取费表'!B41</f>
        <v>5.6000000000000001E-2</v>
      </c>
      <c r="G27" s="1959" t="s">
        <v>2294</v>
      </c>
      <c r="H27" s="445"/>
      <c r="I27" s="445"/>
      <c r="J27" s="445"/>
      <c r="K27" s="446"/>
    </row>
    <row r="28" spans="1:14" s="2120" customFormat="1" ht="13.5" customHeight="1">
      <c r="A28" s="1635" t="s">
        <v>1869</v>
      </c>
      <c r="B28" s="474" t="s">
        <v>512</v>
      </c>
      <c r="C28" s="468">
        <f ca="1">ROUND((C18+C19+C21+C24)/(1-C20-D21-D24-C27),0)</f>
        <v>3559</v>
      </c>
      <c r="D28" s="475"/>
      <c r="E28" s="467"/>
      <c r="F28" s="469"/>
      <c r="G28" s="1324" t="s">
        <v>2438</v>
      </c>
      <c r="H28" s="445"/>
      <c r="I28" s="445"/>
      <c r="J28" s="445"/>
      <c r="K28" s="446"/>
    </row>
    <row r="29" spans="1:14" s="2120" customFormat="1" ht="13.5" customHeight="1">
      <c r="A29" s="1635" t="s">
        <v>1870</v>
      </c>
      <c r="B29" s="474" t="s">
        <v>513</v>
      </c>
      <c r="C29" s="490">
        <f ca="1">IF(B1="",'数据-取费表'!N16,INDIRECT("'数据-取费表'!N"&amp;$K$1))</f>
        <v>0</v>
      </c>
      <c r="D29" s="491"/>
      <c r="E29" s="492"/>
      <c r="F29" s="493"/>
      <c r="G29" s="442"/>
      <c r="H29" s="445"/>
      <c r="I29" s="445"/>
      <c r="J29" s="445"/>
      <c r="K29" s="446"/>
    </row>
    <row r="30" spans="1:14" s="2120" customFormat="1" ht="13.5" customHeight="1">
      <c r="A30" s="441">
        <v>2</v>
      </c>
      <c r="B30" s="474" t="s">
        <v>514</v>
      </c>
      <c r="C30" s="495">
        <f ca="1">ROUND(C28*C29,0)</f>
        <v>0</v>
      </c>
      <c r="D30" s="491"/>
      <c r="E30" s="496"/>
      <c r="F30" s="497"/>
      <c r="G30" s="1326" t="s">
        <v>515</v>
      </c>
      <c r="H30" s="494"/>
      <c r="I30" s="494"/>
      <c r="J30" s="445"/>
      <c r="K30" s="446"/>
    </row>
    <row r="31" spans="1:14" s="2125" customFormat="1" ht="13.5" customHeight="1">
      <c r="A31" s="2503" t="s">
        <v>1866</v>
      </c>
      <c r="B31" s="1327"/>
      <c r="C31" s="498">
        <f>ROUND(C6*F31/(1+'数据-取费表'!C42),0)</f>
        <v>3498</v>
      </c>
      <c r="D31" s="1328"/>
      <c r="E31" s="1328"/>
      <c r="F31" s="499">
        <f>'数据-取费表'!B41</f>
        <v>5.6000000000000001E-2</v>
      </c>
      <c r="G31" s="1329"/>
      <c r="H31" s="1329"/>
      <c r="I31" s="1329"/>
      <c r="J31" s="1330"/>
      <c r="K31" s="1331"/>
    </row>
    <row r="32" spans="1:14" s="2084" customFormat="1" ht="13.5" customHeight="1" thickBot="1">
      <c r="A32" s="480" t="s">
        <v>1867</v>
      </c>
      <c r="B32" s="481"/>
      <c r="C32" s="482">
        <f ca="1">IF('数据-取费表'!B20&lt;=1,(C6-C30-C31)/(1+F21*'数据-取费表'!B20+F19+F24)/(1+'数据-取费表'!B48+'数据-取费表'!B49),(C6-C30-C31)/(1+(POWER((1+F21),'数据-取费表'!B20)-1)+F19+F24)/(1+'数据-取费表'!B48+'数据-取费表'!B49))</f>
        <v>46630.177970279576</v>
      </c>
      <c r="D32" s="481"/>
      <c r="E32" s="481"/>
      <c r="F32" s="481"/>
      <c r="G32" s="2504"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8" t="e">
        <f>ROUND(B2*10000/'数据-汇总表'!E3,0)</f>
        <v>#DIV/0!</v>
      </c>
      <c r="C3" s="2060"/>
      <c r="D3" s="2591"/>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3" customFormat="1" ht="28.5" customHeight="1">
      <c r="A4" s="509" t="s">
        <v>520</v>
      </c>
      <c r="B4" s="425" t="e">
        <f>IF(B48="单位面积地价",C50,ROUND(B2*10000/'数据-汇总表'!D3,0))</f>
        <v>#DIV/0!</v>
      </c>
      <c r="C4" s="2060"/>
      <c r="D4" s="2591"/>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521</v>
      </c>
      <c r="B6" s="511"/>
      <c r="C6" s="3620" t="s">
        <v>522</v>
      </c>
      <c r="D6" s="3621"/>
      <c r="E6" s="3620" t="s">
        <v>523</v>
      </c>
      <c r="F6" s="3621"/>
      <c r="G6" s="3620" t="s">
        <v>524</v>
      </c>
      <c r="H6" s="3621"/>
      <c r="I6" s="3620" t="s">
        <v>525</v>
      </c>
      <c r="J6" s="3621"/>
      <c r="K6" s="512" t="s">
        <v>526</v>
      </c>
      <c r="L6" s="2132"/>
      <c r="M6" s="2131"/>
      <c r="N6" s="2131"/>
      <c r="O6" s="2133"/>
      <c r="P6" s="3622" t="s">
        <v>527</v>
      </c>
      <c r="Q6" s="3623"/>
      <c r="R6" s="3628" t="s">
        <v>523</v>
      </c>
      <c r="S6" s="3629"/>
      <c r="T6" s="3628" t="s">
        <v>524</v>
      </c>
      <c r="U6" s="3629"/>
      <c r="V6" s="3615" t="s">
        <v>525</v>
      </c>
      <c r="W6" s="3615"/>
      <c r="X6" s="1565"/>
      <c r="Y6" s="3628" t="s">
        <v>527</v>
      </c>
      <c r="Z6" s="3629"/>
      <c r="AA6" s="3617" t="s">
        <v>523</v>
      </c>
      <c r="AB6" s="3618" t="s">
        <v>524</v>
      </c>
      <c r="AC6" s="3617" t="s">
        <v>525</v>
      </c>
    </row>
    <row r="7" spans="1:30" ht="20.25">
      <c r="A7" s="513"/>
      <c r="B7" s="514"/>
      <c r="C7" s="3636" t="s">
        <v>2930</v>
      </c>
      <c r="D7" s="3637"/>
      <c r="E7" s="3636" t="s">
        <v>2931</v>
      </c>
      <c r="F7" s="3637"/>
      <c r="G7" s="3636" t="s">
        <v>2932</v>
      </c>
      <c r="H7" s="3637"/>
      <c r="I7" s="3636" t="s">
        <v>2933</v>
      </c>
      <c r="J7" s="3637"/>
      <c r="K7" s="512"/>
      <c r="L7" s="2132"/>
      <c r="M7" s="2131"/>
      <c r="N7" s="2131"/>
      <c r="O7" s="2133"/>
      <c r="P7" s="3624"/>
      <c r="Q7" s="3625"/>
      <c r="R7" s="3630"/>
      <c r="S7" s="3631"/>
      <c r="T7" s="3630"/>
      <c r="U7" s="3631"/>
      <c r="V7" s="3615"/>
      <c r="W7" s="3615"/>
      <c r="X7" s="1565"/>
      <c r="Y7" s="3630"/>
      <c r="Z7" s="3631"/>
      <c r="AA7" s="3618"/>
      <c r="AB7" s="3618"/>
      <c r="AC7" s="3618"/>
    </row>
    <row r="8" spans="1:30" ht="21" thickBot="1">
      <c r="A8" s="513"/>
      <c r="B8" s="514"/>
      <c r="C8" s="3638" t="s">
        <v>2934</v>
      </c>
      <c r="D8" s="3639"/>
      <c r="E8" s="3638" t="s">
        <v>2934</v>
      </c>
      <c r="F8" s="3639"/>
      <c r="G8" s="3634" t="s">
        <v>2934</v>
      </c>
      <c r="H8" s="3635"/>
      <c r="I8" s="3634" t="s">
        <v>2934</v>
      </c>
      <c r="J8" s="3635"/>
      <c r="K8" s="512" t="s">
        <v>528</v>
      </c>
      <c r="L8" s="2132"/>
      <c r="M8" s="2131"/>
      <c r="N8" s="2131"/>
      <c r="O8" s="2133"/>
      <c r="P8" s="3626"/>
      <c r="Q8" s="3627"/>
      <c r="R8" s="3630"/>
      <c r="S8" s="3631"/>
      <c r="T8" s="3632"/>
      <c r="U8" s="3633"/>
      <c r="V8" s="3615"/>
      <c r="W8" s="3615"/>
      <c r="X8" s="1565"/>
      <c r="Y8" s="3632"/>
      <c r="Z8" s="3633"/>
      <c r="AA8" s="3619"/>
      <c r="AB8" s="3619"/>
      <c r="AC8" s="3619"/>
    </row>
    <row r="9" spans="1:30" s="1217" customFormat="1" ht="21" thickBot="1">
      <c r="A9" s="2931"/>
      <c r="B9" s="2938" t="s">
        <v>529</v>
      </c>
      <c r="C9" s="2930">
        <f>'数据-取费表'!B2</f>
        <v>43382</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645" t="s">
        <v>530</v>
      </c>
      <c r="Q9" s="3647"/>
      <c r="R9" s="1566" t="s">
        <v>8</v>
      </c>
      <c r="S9" s="1567">
        <f t="shared" ref="S9:S17" si="0">F9</f>
        <v>0</v>
      </c>
      <c r="T9" s="1566" t="s">
        <v>8</v>
      </c>
      <c r="U9" s="1567">
        <f t="shared" ref="U9:U17" si="1">H9</f>
        <v>0</v>
      </c>
      <c r="V9" s="1566" t="s">
        <v>8</v>
      </c>
      <c r="W9" s="1567">
        <f t="shared" ref="W9:W17" si="2">J9</f>
        <v>0</v>
      </c>
      <c r="X9" s="1568"/>
      <c r="Y9" s="3645" t="s">
        <v>530</v>
      </c>
      <c r="Z9" s="3646"/>
      <c r="AA9" s="1569" t="e">
        <f>D9/F9</f>
        <v>#DIV/0!</v>
      </c>
      <c r="AB9" s="1569" t="e">
        <f>D9/H9</f>
        <v>#DIV/0!</v>
      </c>
      <c r="AC9" s="1569" t="e">
        <f>D9/J9</f>
        <v>#DIV/0!</v>
      </c>
    </row>
    <row r="10" spans="1:30" s="1217" customFormat="1" ht="21" thickBot="1">
      <c r="A10" s="2932"/>
      <c r="B10" s="2939"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645" t="s">
        <v>533</v>
      </c>
      <c r="Q10" s="3646"/>
      <c r="R10" s="1566" t="s">
        <v>8</v>
      </c>
      <c r="S10" s="1567">
        <f t="shared" si="0"/>
        <v>0</v>
      </c>
      <c r="T10" s="1566" t="s">
        <v>8</v>
      </c>
      <c r="U10" s="1567">
        <f t="shared" si="1"/>
        <v>0</v>
      </c>
      <c r="V10" s="1566" t="s">
        <v>8</v>
      </c>
      <c r="W10" s="1567">
        <f t="shared" si="2"/>
        <v>0</v>
      </c>
      <c r="X10" s="1568"/>
      <c r="Y10" s="3645" t="s">
        <v>533</v>
      </c>
      <c r="Z10" s="3646"/>
      <c r="AA10" s="1569" t="e">
        <f t="shared" ref="AA10:AA47" si="3">D10/F10</f>
        <v>#DIV/0!</v>
      </c>
      <c r="AB10" s="1569" t="e">
        <f t="shared" ref="AB10:AB47" si="4">D10/H10</f>
        <v>#DIV/0!</v>
      </c>
      <c r="AC10" s="1569" t="e">
        <f t="shared" ref="AC10:AC47" si="5">D10/J10</f>
        <v>#DIV/0!</v>
      </c>
    </row>
    <row r="11" spans="1:30" s="1217" customFormat="1" ht="20.25">
      <c r="A11" s="2933"/>
      <c r="B11" s="2940" t="s">
        <v>2760</v>
      </c>
      <c r="C11" s="2927"/>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614" t="s">
        <v>535</v>
      </c>
      <c r="Q11" s="1148" t="str">
        <f t="shared" ref="Q11:Q17" si="6">B11</f>
        <v>用途</v>
      </c>
      <c r="R11" s="1566" t="s">
        <v>8</v>
      </c>
      <c r="S11" s="1567">
        <f t="shared" si="0"/>
        <v>100</v>
      </c>
      <c r="T11" s="1566" t="s">
        <v>8</v>
      </c>
      <c r="U11" s="1567">
        <f t="shared" si="1"/>
        <v>100</v>
      </c>
      <c r="V11" s="1566" t="s">
        <v>8</v>
      </c>
      <c r="W11" s="1567">
        <f t="shared" si="2"/>
        <v>100</v>
      </c>
      <c r="X11" s="1568"/>
      <c r="Y11" s="3448" t="s">
        <v>536</v>
      </c>
      <c r="Z11" s="1147" t="str">
        <f t="shared" ref="Z11:Z17" si="7">Q11</f>
        <v>用途</v>
      </c>
      <c r="AA11" s="1569">
        <f t="shared" si="3"/>
        <v>1</v>
      </c>
      <c r="AB11" s="1569">
        <f t="shared" si="4"/>
        <v>1</v>
      </c>
      <c r="AC11" s="1569">
        <f t="shared" si="5"/>
        <v>1</v>
      </c>
    </row>
    <row r="12" spans="1:30" s="1335" customFormat="1" ht="27">
      <c r="A12" s="2934"/>
      <c r="B12" s="2939" t="s">
        <v>2761</v>
      </c>
      <c r="C12" s="908"/>
      <c r="D12" s="253">
        <v>100</v>
      </c>
      <c r="E12" s="527"/>
      <c r="F12" s="253">
        <f>ROUND(100/'数据-取费表'!G16,0)</f>
        <v>100</v>
      </c>
      <c r="G12" s="528"/>
      <c r="H12" s="253">
        <f>ROUND(100/'数据-取费表'!G16,0)</f>
        <v>100</v>
      </c>
      <c r="I12" s="528"/>
      <c r="J12" s="253">
        <f>ROUND(100/'数据-取费表'!G16,0)</f>
        <v>100</v>
      </c>
      <c r="K12" s="529"/>
      <c r="L12" s="2137"/>
      <c r="M12" s="2131"/>
      <c r="N12" s="2131"/>
      <c r="O12" s="2138"/>
      <c r="P12" s="3614"/>
      <c r="Q12" s="1148" t="str">
        <f t="shared" si="6"/>
        <v>土地使用年限（年）</v>
      </c>
      <c r="R12" s="1566" t="s">
        <v>8</v>
      </c>
      <c r="S12" s="1567">
        <f t="shared" si="0"/>
        <v>100</v>
      </c>
      <c r="T12" s="1566" t="s">
        <v>8</v>
      </c>
      <c r="U12" s="1567">
        <f t="shared" si="1"/>
        <v>100</v>
      </c>
      <c r="V12" s="1566" t="s">
        <v>8</v>
      </c>
      <c r="W12" s="1567">
        <f t="shared" si="2"/>
        <v>100</v>
      </c>
      <c r="X12" s="1568"/>
      <c r="Y12" s="3448"/>
      <c r="Z12" s="1147" t="str">
        <f t="shared" si="7"/>
        <v>土地使用年限（年）</v>
      </c>
      <c r="AA12" s="1569">
        <f t="shared" si="3"/>
        <v>1</v>
      </c>
      <c r="AB12" s="1569">
        <f t="shared" si="4"/>
        <v>1</v>
      </c>
      <c r="AC12" s="1569">
        <f t="shared" si="5"/>
        <v>1</v>
      </c>
    </row>
    <row r="13" spans="1:30" ht="20.25">
      <c r="A13" s="2935"/>
      <c r="B13" s="2939"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614"/>
      <c r="Q13" s="1148" t="str">
        <f t="shared" si="6"/>
        <v>容积率</v>
      </c>
      <c r="R13" s="1566" t="s">
        <v>8</v>
      </c>
      <c r="S13" s="1567" t="e">
        <f t="shared" si="0"/>
        <v>#N/A</v>
      </c>
      <c r="T13" s="1566" t="s">
        <v>8</v>
      </c>
      <c r="U13" s="1567" t="e">
        <f t="shared" si="1"/>
        <v>#N/A</v>
      </c>
      <c r="V13" s="1566" t="s">
        <v>8</v>
      </c>
      <c r="W13" s="1567" t="e">
        <f t="shared" si="2"/>
        <v>#N/A</v>
      </c>
      <c r="X13" s="1568"/>
      <c r="Y13" s="3448"/>
      <c r="Z13" s="1147" t="str">
        <f t="shared" si="7"/>
        <v>容积率</v>
      </c>
      <c r="AA13" s="1569" t="e">
        <f t="shared" si="3"/>
        <v>#N/A</v>
      </c>
      <c r="AB13" s="1569" t="e">
        <f t="shared" si="4"/>
        <v>#N/A</v>
      </c>
      <c r="AC13" s="1569" t="e">
        <f t="shared" si="5"/>
        <v>#N/A</v>
      </c>
    </row>
    <row r="14" spans="1:30" s="1217" customFormat="1" ht="20.25">
      <c r="A14" s="2932"/>
      <c r="B14" s="2941" t="s">
        <v>2763</v>
      </c>
      <c r="C14" s="2928"/>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614"/>
      <c r="Q14" s="1148" t="str">
        <f t="shared" si="6"/>
        <v>配建</v>
      </c>
      <c r="R14" s="1566" t="s">
        <v>8</v>
      </c>
      <c r="S14" s="1567">
        <f t="shared" si="0"/>
        <v>100</v>
      </c>
      <c r="T14" s="1566" t="s">
        <v>8</v>
      </c>
      <c r="U14" s="1567">
        <f t="shared" si="1"/>
        <v>100</v>
      </c>
      <c r="V14" s="1566" t="s">
        <v>8</v>
      </c>
      <c r="W14" s="1567">
        <f t="shared" si="2"/>
        <v>100</v>
      </c>
      <c r="X14" s="1568"/>
      <c r="Y14" s="3448"/>
      <c r="Z14" s="1147" t="str">
        <f t="shared" si="7"/>
        <v>配建</v>
      </c>
      <c r="AA14" s="1569">
        <f>D14/F14</f>
        <v>1</v>
      </c>
      <c r="AB14" s="1569">
        <f>D14/H14</f>
        <v>1</v>
      </c>
      <c r="AC14" s="1569">
        <f>D14/J14</f>
        <v>1</v>
      </c>
    </row>
    <row r="15" spans="1:30" ht="20.25">
      <c r="A15" s="2936"/>
      <c r="B15" s="2942">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614"/>
      <c r="Q15" s="1148">
        <f t="shared" si="6"/>
        <v>111</v>
      </c>
      <c r="R15" s="1566" t="s">
        <v>8</v>
      </c>
      <c r="S15" s="1567">
        <f t="shared" si="0"/>
        <v>100</v>
      </c>
      <c r="T15" s="1566" t="s">
        <v>8</v>
      </c>
      <c r="U15" s="1567">
        <f t="shared" si="1"/>
        <v>100</v>
      </c>
      <c r="V15" s="1566" t="s">
        <v>8</v>
      </c>
      <c r="W15" s="1567">
        <f t="shared" si="2"/>
        <v>100</v>
      </c>
      <c r="X15" s="1568"/>
      <c r="Y15" s="3448"/>
      <c r="Z15" s="1147">
        <f t="shared" si="7"/>
        <v>111</v>
      </c>
      <c r="AA15" s="1569">
        <f>D15/F15</f>
        <v>1</v>
      </c>
      <c r="AB15" s="1569">
        <f>D15/H15</f>
        <v>1</v>
      </c>
      <c r="AC15" s="1569">
        <f>D15/J15</f>
        <v>1</v>
      </c>
    </row>
    <row r="16" spans="1:30" ht="21" thickBot="1">
      <c r="A16" s="2937"/>
      <c r="B16" s="2943">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614"/>
      <c r="Q16" s="1148">
        <f t="shared" si="6"/>
        <v>111</v>
      </c>
      <c r="R16" s="1566" t="s">
        <v>8</v>
      </c>
      <c r="S16" s="1567">
        <f t="shared" si="0"/>
        <v>100</v>
      </c>
      <c r="T16" s="1566" t="s">
        <v>8</v>
      </c>
      <c r="U16" s="1567">
        <f t="shared" si="1"/>
        <v>100</v>
      </c>
      <c r="V16" s="1566" t="s">
        <v>8</v>
      </c>
      <c r="W16" s="1567">
        <f t="shared" si="2"/>
        <v>100</v>
      </c>
      <c r="X16" s="1568"/>
      <c r="Y16" s="3448"/>
      <c r="Z16" s="1147">
        <f t="shared" si="7"/>
        <v>111</v>
      </c>
      <c r="AA16" s="1569">
        <f>D16/F16</f>
        <v>1</v>
      </c>
      <c r="AB16" s="1569">
        <f>D16/H16</f>
        <v>1</v>
      </c>
      <c r="AC16" s="1569">
        <f>D16/J16</f>
        <v>1</v>
      </c>
    </row>
    <row r="17" spans="1:29" ht="99.75">
      <c r="A17" s="2929"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648" t="s">
        <v>540</v>
      </c>
      <c r="Q17" s="1570" t="str">
        <f t="shared" si="6"/>
        <v>居住社区成熟度</v>
      </c>
      <c r="R17" s="1571" t="s">
        <v>8</v>
      </c>
      <c r="S17" s="1572">
        <f t="shared" si="0"/>
        <v>100</v>
      </c>
      <c r="T17" s="1571" t="s">
        <v>8</v>
      </c>
      <c r="U17" s="1572">
        <f t="shared" si="1"/>
        <v>100</v>
      </c>
      <c r="V17" s="1571" t="s">
        <v>8</v>
      </c>
      <c r="W17" s="1572">
        <f t="shared" si="2"/>
        <v>100</v>
      </c>
      <c r="X17" s="1565"/>
      <c r="Y17" s="3648" t="s">
        <v>540</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649"/>
      <c r="Q18" s="1570"/>
      <c r="R18" s="1571"/>
      <c r="S18" s="1572"/>
      <c r="T18" s="1571"/>
      <c r="U18" s="1572"/>
      <c r="V18" s="1571"/>
      <c r="W18" s="1572"/>
      <c r="X18" s="1565"/>
      <c r="Y18" s="3649"/>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649"/>
      <c r="Q19" s="1570" t="str">
        <f>B19</f>
        <v>商业繁华度</v>
      </c>
      <c r="R19" s="1571" t="s">
        <v>8</v>
      </c>
      <c r="S19" s="1572">
        <f>F19</f>
        <v>100</v>
      </c>
      <c r="T19" s="1571" t="s">
        <v>8</v>
      </c>
      <c r="U19" s="1572">
        <f>H19</f>
        <v>100</v>
      </c>
      <c r="V19" s="1571" t="s">
        <v>8</v>
      </c>
      <c r="W19" s="1572">
        <f>J19</f>
        <v>100</v>
      </c>
      <c r="X19" s="1565"/>
      <c r="Y19" s="3649"/>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649"/>
      <c r="Q20" s="1570"/>
      <c r="R20" s="1571"/>
      <c r="S20" s="1572"/>
      <c r="T20" s="1571"/>
      <c r="U20" s="1572"/>
      <c r="V20" s="1571"/>
      <c r="W20" s="1572"/>
      <c r="X20" s="1565"/>
      <c r="Y20" s="3649"/>
      <c r="Z20" s="1573"/>
      <c r="AA20" s="1574">
        <v>1</v>
      </c>
      <c r="AB20" s="1574">
        <v>1</v>
      </c>
      <c r="AC20" s="1574">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649"/>
      <c r="Q21" s="1570" t="str">
        <f>B21</f>
        <v>办公集聚程度</v>
      </c>
      <c r="R21" s="1571" t="s">
        <v>8</v>
      </c>
      <c r="S21" s="1572">
        <f>F21</f>
        <v>100</v>
      </c>
      <c r="T21" s="1571" t="s">
        <v>8</v>
      </c>
      <c r="U21" s="1572">
        <f>H21</f>
        <v>100</v>
      </c>
      <c r="V21" s="1571" t="s">
        <v>8</v>
      </c>
      <c r="W21" s="1572">
        <f>J21</f>
        <v>100</v>
      </c>
      <c r="X21" s="1565"/>
      <c r="Y21" s="3649"/>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649"/>
      <c r="Q22" s="1570"/>
      <c r="R22" s="1571"/>
      <c r="S22" s="1572"/>
      <c r="T22" s="1571"/>
      <c r="U22" s="1572"/>
      <c r="V22" s="1571"/>
      <c r="W22" s="1572"/>
      <c r="X22" s="1565"/>
      <c r="Y22" s="3649"/>
      <c r="Z22" s="1573"/>
      <c r="AA22" s="1574">
        <v>1</v>
      </c>
      <c r="AB22" s="1574">
        <v>1</v>
      </c>
      <c r="AC22" s="1574">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649"/>
      <c r="Q23" s="1570" t="str">
        <f>B23</f>
        <v>交通便捷度</v>
      </c>
      <c r="R23" s="1571" t="s">
        <v>8</v>
      </c>
      <c r="S23" s="1572">
        <f>F23</f>
        <v>100</v>
      </c>
      <c r="T23" s="1571" t="s">
        <v>8</v>
      </c>
      <c r="U23" s="1572">
        <f>H23</f>
        <v>100</v>
      </c>
      <c r="V23" s="1571" t="s">
        <v>8</v>
      </c>
      <c r="W23" s="1572">
        <f>J23</f>
        <v>100</v>
      </c>
      <c r="X23" s="1565"/>
      <c r="Y23" s="3649"/>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649"/>
      <c r="Q24" s="1570"/>
      <c r="R24" s="1571"/>
      <c r="S24" s="1572"/>
      <c r="T24" s="1571"/>
      <c r="U24" s="1572"/>
      <c r="V24" s="1571"/>
      <c r="W24" s="1572"/>
      <c r="X24" s="1565"/>
      <c r="Y24" s="3649"/>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649"/>
      <c r="Q25" s="1570" t="str">
        <f t="shared" ref="Q25:Q39" si="8">B25</f>
        <v>区域土地利用方向</v>
      </c>
      <c r="R25" s="1571" t="s">
        <v>8</v>
      </c>
      <c r="S25" s="1572">
        <f>F25</f>
        <v>100</v>
      </c>
      <c r="T25" s="1571" t="s">
        <v>8</v>
      </c>
      <c r="U25" s="1572">
        <f>H25</f>
        <v>100</v>
      </c>
      <c r="V25" s="1571" t="s">
        <v>8</v>
      </c>
      <c r="W25" s="1572">
        <f>J25</f>
        <v>100</v>
      </c>
      <c r="X25" s="1565"/>
      <c r="Y25" s="3649"/>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649"/>
      <c r="Q26" s="1570"/>
      <c r="R26" s="1571"/>
      <c r="S26" s="1572"/>
      <c r="T26" s="1571"/>
      <c r="U26" s="1572"/>
      <c r="V26" s="1571"/>
      <c r="W26" s="1572"/>
      <c r="X26" s="1565"/>
      <c r="Y26" s="3649"/>
      <c r="Z26" s="1573"/>
      <c r="AA26" s="1574"/>
      <c r="AB26" s="1574"/>
      <c r="AC26" s="1574"/>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649"/>
      <c r="Q27" s="1570" t="str">
        <f t="shared" si="8"/>
        <v>自然及人文环境状况</v>
      </c>
      <c r="R27" s="1571" t="s">
        <v>8</v>
      </c>
      <c r="S27" s="1572">
        <f>F27</f>
        <v>100</v>
      </c>
      <c r="T27" s="1571" t="s">
        <v>8</v>
      </c>
      <c r="U27" s="1572">
        <f>H27</f>
        <v>100</v>
      </c>
      <c r="V27" s="1571" t="s">
        <v>8</v>
      </c>
      <c r="W27" s="1572">
        <f>J27</f>
        <v>100</v>
      </c>
      <c r="X27" s="1565"/>
      <c r="Y27" s="3649"/>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649"/>
      <c r="Q28" s="1570"/>
      <c r="R28" s="1571"/>
      <c r="S28" s="1572"/>
      <c r="T28" s="1571"/>
      <c r="U28" s="1572"/>
      <c r="V28" s="1571"/>
      <c r="W28" s="1572"/>
      <c r="X28" s="1565"/>
      <c r="Y28" s="3649"/>
      <c r="Z28" s="1573"/>
      <c r="AA28" s="1574">
        <v>1</v>
      </c>
      <c r="AB28" s="1574">
        <v>1</v>
      </c>
      <c r="AC28" s="1574">
        <v>1</v>
      </c>
    </row>
    <row r="29" spans="1:29" s="1217" customFormat="1" ht="42.75">
      <c r="A29" s="575"/>
      <c r="B29" s="2612"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649"/>
      <c r="Q29" s="1148" t="str">
        <f t="shared" si="8"/>
        <v>公共配套设施</v>
      </c>
      <c r="R29" s="1566" t="s">
        <v>8</v>
      </c>
      <c r="S29" s="1567">
        <f>F29</f>
        <v>100</v>
      </c>
      <c r="T29" s="1566" t="s">
        <v>8</v>
      </c>
      <c r="U29" s="1567">
        <f>H29</f>
        <v>100</v>
      </c>
      <c r="V29" s="1566" t="s">
        <v>8</v>
      </c>
      <c r="W29" s="1567">
        <f>J29</f>
        <v>100</v>
      </c>
      <c r="X29" s="1568"/>
      <c r="Y29" s="3649"/>
      <c r="Z29" s="1147" t="str">
        <f>Q29</f>
        <v>公共配套设施</v>
      </c>
      <c r="AA29" s="1574">
        <f>D29/F29</f>
        <v>1</v>
      </c>
      <c r="AB29" s="1574">
        <f>D29/H29</f>
        <v>1</v>
      </c>
      <c r="AC29" s="1574">
        <f>D29/J29</f>
        <v>1</v>
      </c>
    </row>
    <row r="30" spans="1:29" s="1217" customFormat="1" ht="20.25">
      <c r="A30" s="575"/>
      <c r="B30" s="564"/>
      <c r="C30" s="577"/>
      <c r="D30" s="555"/>
      <c r="E30" s="574"/>
      <c r="F30" s="553"/>
      <c r="G30" s="552"/>
      <c r="H30" s="553"/>
      <c r="I30" s="574"/>
      <c r="J30" s="553"/>
      <c r="K30" s="529"/>
      <c r="L30" s="2134"/>
      <c r="M30" s="2131"/>
      <c r="N30" s="2131"/>
      <c r="O30" s="2136"/>
      <c r="P30" s="3649"/>
      <c r="Q30" s="1148"/>
      <c r="R30" s="1566"/>
      <c r="S30" s="1567"/>
      <c r="T30" s="1566"/>
      <c r="U30" s="1567"/>
      <c r="V30" s="1566"/>
      <c r="W30" s="1567"/>
      <c r="X30" s="1568"/>
      <c r="Y30" s="3649"/>
      <c r="Z30" s="1147"/>
      <c r="AA30" s="1574">
        <v>1</v>
      </c>
      <c r="AB30" s="1574">
        <v>1</v>
      </c>
      <c r="AC30" s="1574">
        <v>1</v>
      </c>
    </row>
    <row r="31" spans="1:29" s="1217" customFormat="1" ht="42.75">
      <c r="A31" s="575"/>
      <c r="B31" s="2612"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649"/>
      <c r="Q31" s="2599" t="str">
        <f t="shared" ref="Q31" si="9">B31</f>
        <v>基础设施水平</v>
      </c>
      <c r="R31" s="1566" t="s">
        <v>8</v>
      </c>
      <c r="S31" s="1567">
        <f>F31</f>
        <v>100</v>
      </c>
      <c r="T31" s="1566" t="s">
        <v>8</v>
      </c>
      <c r="U31" s="1567">
        <f>H31</f>
        <v>100</v>
      </c>
      <c r="V31" s="1566" t="s">
        <v>8</v>
      </c>
      <c r="W31" s="1567">
        <f>J31</f>
        <v>100</v>
      </c>
      <c r="X31" s="1568"/>
      <c r="Y31" s="3649"/>
      <c r="Z31" s="2596" t="str">
        <f>Q31</f>
        <v>基础设施水平</v>
      </c>
      <c r="AA31" s="1574">
        <f>D31/F31</f>
        <v>1</v>
      </c>
      <c r="AB31" s="1574">
        <f>D31/H31</f>
        <v>1</v>
      </c>
      <c r="AC31" s="1574">
        <f>D31/J31</f>
        <v>1</v>
      </c>
    </row>
    <row r="32" spans="1:29" s="1217" customFormat="1" ht="20.25">
      <c r="A32" s="575"/>
      <c r="B32" s="564"/>
      <c r="C32" s="577"/>
      <c r="D32" s="555"/>
      <c r="E32" s="2613"/>
      <c r="F32" s="553"/>
      <c r="G32" s="577"/>
      <c r="H32" s="553"/>
      <c r="I32" s="577"/>
      <c r="J32" s="553"/>
      <c r="K32" s="529"/>
      <c r="L32" s="2134"/>
      <c r="M32" s="2131"/>
      <c r="N32" s="2131"/>
      <c r="O32" s="2136"/>
      <c r="P32" s="3649"/>
      <c r="Q32" s="2599"/>
      <c r="R32" s="1566"/>
      <c r="S32" s="1567"/>
      <c r="T32" s="1566"/>
      <c r="U32" s="1567"/>
      <c r="V32" s="1566"/>
      <c r="W32" s="1567"/>
      <c r="X32" s="1568"/>
      <c r="Y32" s="3649"/>
      <c r="Z32" s="2596"/>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64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649"/>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649"/>
      <c r="Q34" s="1570" t="str">
        <f t="shared" si="8"/>
        <v>毗邻道路的类型与等级</v>
      </c>
      <c r="R34" s="1571" t="s">
        <v>8</v>
      </c>
      <c r="S34" s="1572">
        <f t="shared" si="10"/>
        <v>100</v>
      </c>
      <c r="T34" s="1571" t="s">
        <v>8</v>
      </c>
      <c r="U34" s="1572">
        <f t="shared" si="11"/>
        <v>100</v>
      </c>
      <c r="V34" s="1571" t="s">
        <v>8</v>
      </c>
      <c r="W34" s="1572">
        <f t="shared" si="12"/>
        <v>100</v>
      </c>
      <c r="X34" s="1565"/>
      <c r="Y34" s="3649"/>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649"/>
      <c r="Q35" s="1570"/>
      <c r="R35" s="1571"/>
      <c r="S35" s="1572"/>
      <c r="T35" s="1571"/>
      <c r="U35" s="1572"/>
      <c r="V35" s="1571"/>
      <c r="W35" s="1572"/>
      <c r="X35" s="1565"/>
      <c r="Y35" s="3649"/>
      <c r="Z35" s="1573"/>
      <c r="AA35" s="1574">
        <v>1</v>
      </c>
      <c r="AB35" s="1574">
        <v>1</v>
      </c>
      <c r="AC35" s="1574">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649"/>
      <c r="Q36" s="1570" t="str">
        <f t="shared" si="8"/>
        <v>土地级别</v>
      </c>
      <c r="R36" s="1571" t="s">
        <v>8</v>
      </c>
      <c r="S36" s="1572">
        <f t="shared" si="10"/>
        <v>100</v>
      </c>
      <c r="T36" s="1571" t="s">
        <v>8</v>
      </c>
      <c r="U36" s="1572">
        <f t="shared" si="11"/>
        <v>100</v>
      </c>
      <c r="V36" s="1571" t="s">
        <v>8</v>
      </c>
      <c r="W36" s="1572">
        <f t="shared" si="12"/>
        <v>100</v>
      </c>
      <c r="X36" s="1565"/>
      <c r="Y36" s="3649"/>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649"/>
      <c r="Q37" s="1570">
        <f t="shared" si="8"/>
        <v>111</v>
      </c>
      <c r="R37" s="1571" t="s">
        <v>8</v>
      </c>
      <c r="S37" s="1572">
        <f t="shared" si="10"/>
        <v>100</v>
      </c>
      <c r="T37" s="1571" t="s">
        <v>8</v>
      </c>
      <c r="U37" s="1572">
        <f t="shared" si="11"/>
        <v>100</v>
      </c>
      <c r="V37" s="1571" t="s">
        <v>8</v>
      </c>
      <c r="W37" s="1572">
        <f t="shared" si="12"/>
        <v>100</v>
      </c>
      <c r="X37" s="1565"/>
      <c r="Y37" s="3649"/>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650" t="s">
        <v>550</v>
      </c>
      <c r="Q38" s="1570">
        <f t="shared" si="8"/>
        <v>111</v>
      </c>
      <c r="R38" s="1571" t="s">
        <v>8</v>
      </c>
      <c r="S38" s="1572">
        <f t="shared" si="10"/>
        <v>100</v>
      </c>
      <c r="T38" s="1571" t="s">
        <v>8</v>
      </c>
      <c r="U38" s="1572">
        <f t="shared" si="11"/>
        <v>100</v>
      </c>
      <c r="V38" s="1571" t="s">
        <v>8</v>
      </c>
      <c r="W38" s="1572">
        <f t="shared" si="12"/>
        <v>100</v>
      </c>
      <c r="X38" s="1565"/>
      <c r="Y38" s="3651" t="s">
        <v>550</v>
      </c>
      <c r="Z38" s="1573">
        <f t="shared" si="13"/>
        <v>111</v>
      </c>
      <c r="AA38" s="1574">
        <f t="shared" si="3"/>
        <v>1</v>
      </c>
      <c r="AB38" s="1574">
        <f t="shared" si="4"/>
        <v>1</v>
      </c>
      <c r="AC38" s="1574">
        <f t="shared" si="5"/>
        <v>1</v>
      </c>
    </row>
    <row r="39" spans="1:29" s="1336"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651"/>
      <c r="Q39" s="1570">
        <f t="shared" si="8"/>
        <v>111</v>
      </c>
      <c r="R39" s="1575" t="s">
        <v>8</v>
      </c>
      <c r="S39" s="1576">
        <f t="shared" si="10"/>
        <v>100</v>
      </c>
      <c r="T39" s="1575" t="s">
        <v>8</v>
      </c>
      <c r="U39" s="1576">
        <f t="shared" si="11"/>
        <v>100</v>
      </c>
      <c r="V39" s="1575" t="s">
        <v>8</v>
      </c>
      <c r="W39" s="1576">
        <f t="shared" si="12"/>
        <v>100</v>
      </c>
      <c r="X39" s="1577"/>
      <c r="Y39" s="3651"/>
      <c r="Z39" s="1578">
        <f t="shared" si="13"/>
        <v>111</v>
      </c>
      <c r="AA39" s="1574">
        <f t="shared" si="3"/>
        <v>1</v>
      </c>
      <c r="AB39" s="1574">
        <f t="shared" si="4"/>
        <v>1</v>
      </c>
      <c r="AC39" s="1574">
        <f t="shared" si="5"/>
        <v>1</v>
      </c>
    </row>
    <row r="40" spans="1:29" ht="20.25">
      <c r="A40" s="2926"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651"/>
      <c r="Q40" s="1570" t="str">
        <f>B40</f>
        <v>宗地面积</v>
      </c>
      <c r="R40" s="1571" t="s">
        <v>8</v>
      </c>
      <c r="S40" s="1572" t="e">
        <f t="shared" si="10"/>
        <v>#N/A</v>
      </c>
      <c r="T40" s="1571" t="s">
        <v>8</v>
      </c>
      <c r="U40" s="1572" t="e">
        <f t="shared" si="11"/>
        <v>#N/A</v>
      </c>
      <c r="V40" s="1571" t="s">
        <v>8</v>
      </c>
      <c r="W40" s="1572" t="e">
        <f t="shared" si="12"/>
        <v>#N/A</v>
      </c>
      <c r="X40" s="1565"/>
      <c r="Y40" s="3651"/>
      <c r="Z40" s="1573" t="str">
        <f t="shared" si="13"/>
        <v>宗地面积</v>
      </c>
      <c r="AA40" s="1574" t="e">
        <f t="shared" si="3"/>
        <v>#N/A</v>
      </c>
      <c r="AB40" s="1574" t="e">
        <f t="shared" si="4"/>
        <v>#N/A</v>
      </c>
      <c r="AC40" s="1574"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651"/>
      <c r="Q41" s="1570" t="str">
        <f t="shared" ref="Q41:Q47" si="14">B41</f>
        <v>宗地形状</v>
      </c>
      <c r="R41" s="1571" t="s">
        <v>8</v>
      </c>
      <c r="S41" s="1572">
        <f t="shared" si="10"/>
        <v>100</v>
      </c>
      <c r="T41" s="1571" t="s">
        <v>8</v>
      </c>
      <c r="U41" s="1572">
        <f t="shared" si="11"/>
        <v>100</v>
      </c>
      <c r="V41" s="1571" t="s">
        <v>8</v>
      </c>
      <c r="W41" s="1572">
        <f t="shared" si="12"/>
        <v>100</v>
      </c>
      <c r="X41" s="1565"/>
      <c r="Y41" s="3651"/>
      <c r="Z41" s="1573" t="str">
        <f t="shared" si="13"/>
        <v>宗地形状</v>
      </c>
      <c r="AA41" s="1574">
        <f t="shared" si="3"/>
        <v>1</v>
      </c>
      <c r="AB41" s="1574">
        <f t="shared" si="4"/>
        <v>1</v>
      </c>
      <c r="AC41" s="1574">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651"/>
      <c r="Q42" s="1570" t="str">
        <f t="shared" si="14"/>
        <v>临街宽度及深度</v>
      </c>
      <c r="R42" s="1571" t="s">
        <v>8</v>
      </c>
      <c r="S42" s="1572">
        <f t="shared" si="10"/>
        <v>100</v>
      </c>
      <c r="T42" s="1571" t="s">
        <v>8</v>
      </c>
      <c r="U42" s="1572">
        <f t="shared" si="11"/>
        <v>100</v>
      </c>
      <c r="V42" s="1571" t="s">
        <v>8</v>
      </c>
      <c r="W42" s="1572">
        <f t="shared" si="12"/>
        <v>100</v>
      </c>
      <c r="X42" s="1565"/>
      <c r="Y42" s="3651"/>
      <c r="Z42" s="1573" t="str">
        <f t="shared" si="13"/>
        <v>临街宽度及深度</v>
      </c>
      <c r="AA42" s="1574">
        <f t="shared" si="3"/>
        <v>1</v>
      </c>
      <c r="AB42" s="1574">
        <f t="shared" si="4"/>
        <v>1</v>
      </c>
      <c r="AC42" s="1574">
        <f t="shared" si="5"/>
        <v>1</v>
      </c>
    </row>
    <row r="43" spans="1:29" s="1217" customFormat="1" ht="20.25">
      <c r="A43" s="598"/>
      <c r="B43" s="1894"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651"/>
      <c r="Q43" s="1570" t="str">
        <f t="shared" si="14"/>
        <v>宗地开发程度</v>
      </c>
      <c r="R43" s="1566" t="s">
        <v>8</v>
      </c>
      <c r="S43" s="1567">
        <f t="shared" si="10"/>
        <v>100</v>
      </c>
      <c r="T43" s="1566" t="s">
        <v>8</v>
      </c>
      <c r="U43" s="1567">
        <f t="shared" si="11"/>
        <v>100</v>
      </c>
      <c r="V43" s="1566" t="s">
        <v>8</v>
      </c>
      <c r="W43" s="1567">
        <f t="shared" si="12"/>
        <v>100</v>
      </c>
      <c r="X43" s="1568"/>
      <c r="Y43" s="3651"/>
      <c r="Z43" s="1147" t="str">
        <f t="shared" si="13"/>
        <v>宗地开发程度</v>
      </c>
      <c r="AA43" s="1569">
        <f t="shared" si="3"/>
        <v>1</v>
      </c>
      <c r="AB43" s="1569">
        <f t="shared" si="4"/>
        <v>1</v>
      </c>
      <c r="AC43" s="1569">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651" t="s">
        <v>550</v>
      </c>
      <c r="Q44" s="1570" t="str">
        <f t="shared" si="14"/>
        <v>工程地质条件</v>
      </c>
      <c r="R44" s="1571" t="s">
        <v>8</v>
      </c>
      <c r="S44" s="1572">
        <f t="shared" si="10"/>
        <v>100</v>
      </c>
      <c r="T44" s="1571" t="s">
        <v>8</v>
      </c>
      <c r="U44" s="1572">
        <f t="shared" si="11"/>
        <v>100</v>
      </c>
      <c r="V44" s="1571" t="s">
        <v>8</v>
      </c>
      <c r="W44" s="1572">
        <f t="shared" si="12"/>
        <v>100</v>
      </c>
      <c r="X44" s="1565"/>
      <c r="Y44" s="3651" t="s">
        <v>550</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651"/>
      <c r="Q45" s="1570">
        <f t="shared" si="14"/>
        <v>111</v>
      </c>
      <c r="R45" s="1571" t="s">
        <v>8</v>
      </c>
      <c r="S45" s="1572">
        <f t="shared" si="10"/>
        <v>100</v>
      </c>
      <c r="T45" s="1571" t="s">
        <v>8</v>
      </c>
      <c r="U45" s="1572">
        <f t="shared" si="11"/>
        <v>100</v>
      </c>
      <c r="V45" s="1571" t="s">
        <v>8</v>
      </c>
      <c r="W45" s="1572">
        <f t="shared" si="12"/>
        <v>100</v>
      </c>
      <c r="X45" s="1565"/>
      <c r="Y45" s="3651"/>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651"/>
      <c r="Q46" s="1570">
        <f t="shared" si="14"/>
        <v>111</v>
      </c>
      <c r="R46" s="1571" t="s">
        <v>8</v>
      </c>
      <c r="S46" s="1572">
        <f t="shared" si="10"/>
        <v>100</v>
      </c>
      <c r="T46" s="1571" t="s">
        <v>8</v>
      </c>
      <c r="U46" s="1572">
        <f t="shared" si="11"/>
        <v>100</v>
      </c>
      <c r="V46" s="1571" t="s">
        <v>8</v>
      </c>
      <c r="W46" s="1572">
        <f t="shared" si="12"/>
        <v>100</v>
      </c>
      <c r="X46" s="1565"/>
      <c r="Y46" s="3651"/>
      <c r="Z46" s="1573">
        <f t="shared" si="13"/>
        <v>111</v>
      </c>
      <c r="AA46" s="1574">
        <f t="shared" si="3"/>
        <v>1</v>
      </c>
      <c r="AB46" s="1574">
        <f t="shared" si="4"/>
        <v>1</v>
      </c>
      <c r="AC46" s="1574">
        <f t="shared" si="5"/>
        <v>1</v>
      </c>
    </row>
    <row r="47" spans="1:29" s="1336"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651"/>
      <c r="Q47" s="1570">
        <f t="shared" si="14"/>
        <v>111</v>
      </c>
      <c r="R47" s="1575" t="s">
        <v>8</v>
      </c>
      <c r="S47" s="1576">
        <f t="shared" si="10"/>
        <v>100</v>
      </c>
      <c r="T47" s="1575" t="s">
        <v>8</v>
      </c>
      <c r="U47" s="1576">
        <f t="shared" si="11"/>
        <v>100</v>
      </c>
      <c r="V47" s="1575" t="s">
        <v>8</v>
      </c>
      <c r="W47" s="1576">
        <f t="shared" si="12"/>
        <v>100</v>
      </c>
      <c r="X47" s="1577"/>
      <c r="Y47" s="3651"/>
      <c r="Z47" s="1578">
        <f t="shared" si="13"/>
        <v>111</v>
      </c>
      <c r="AA47" s="1574">
        <f t="shared" si="3"/>
        <v>1</v>
      </c>
      <c r="AB47" s="1574">
        <f t="shared" si="4"/>
        <v>1</v>
      </c>
      <c r="AC47" s="1574">
        <f t="shared" si="5"/>
        <v>1</v>
      </c>
    </row>
    <row r="48" spans="1:29" ht="20.25">
      <c r="A48" s="605" t="s">
        <v>556</v>
      </c>
      <c r="B48" s="606" t="s">
        <v>2935</v>
      </c>
      <c r="C48" s="607" t="s">
        <v>1</v>
      </c>
      <c r="D48" s="608"/>
      <c r="E48" s="609"/>
      <c r="F48" s="610"/>
      <c r="G48" s="611"/>
      <c r="H48" s="612"/>
      <c r="I48" s="609"/>
      <c r="J48" s="612"/>
      <c r="K48" s="1337"/>
      <c r="L48" s="2143"/>
      <c r="M48" s="2131"/>
      <c r="N48" s="2131"/>
      <c r="O48" s="2144"/>
      <c r="P48" s="3614" t="str">
        <f>A48</f>
        <v>成交单价</v>
      </c>
      <c r="Q48" s="3614"/>
      <c r="R48" s="3615">
        <f>E48</f>
        <v>0</v>
      </c>
      <c r="S48" s="3615"/>
      <c r="T48" s="3615">
        <f>G48</f>
        <v>0</v>
      </c>
      <c r="U48" s="3615"/>
      <c r="V48" s="3615">
        <f>I48</f>
        <v>0</v>
      </c>
      <c r="W48" s="3615"/>
      <c r="X48" s="1557"/>
      <c r="Y48" s="1579"/>
      <c r="Z48" s="1557"/>
      <c r="AA48" s="1557"/>
      <c r="AB48" s="1557"/>
      <c r="AC48" s="1557"/>
    </row>
    <row r="49" spans="1:29" ht="21" thickBot="1">
      <c r="A49" s="613" t="s">
        <v>2697</v>
      </c>
      <c r="B49" s="614"/>
      <c r="C49" s="615" t="e">
        <f>R50</f>
        <v>#DIV/0!</v>
      </c>
      <c r="D49" s="616"/>
      <c r="E49" s="615" t="e">
        <f>R49</f>
        <v>#DIV/0!</v>
      </c>
      <c r="F49" s="617"/>
      <c r="G49" s="618" t="e">
        <f>T49</f>
        <v>#DIV/0!</v>
      </c>
      <c r="H49" s="616"/>
      <c r="I49" s="615" t="e">
        <f>V49</f>
        <v>#DIV/0!</v>
      </c>
      <c r="J49" s="616"/>
      <c r="K49" s="1338"/>
      <c r="L49" s="2143"/>
      <c r="M49" s="2131"/>
      <c r="N49" s="2131"/>
      <c r="O49" s="2144"/>
      <c r="P49" s="3614" t="str">
        <f>A49</f>
        <v>比较价格（元/平方米）</v>
      </c>
      <c r="Q49" s="3614"/>
      <c r="R49" s="3616" t="e">
        <f>ROUND(PRODUCT(R48,AA9:AA47),0)</f>
        <v>#DIV/0!</v>
      </c>
      <c r="S49" s="3616"/>
      <c r="T49" s="3616" t="e">
        <f>ROUND(PRODUCT(T48,AB9:AB47),0)</f>
        <v>#DIV/0!</v>
      </c>
      <c r="U49" s="3616"/>
      <c r="V49" s="3616" t="e">
        <f>ROUND(PRODUCT(V48,AC9:AC47),0)</f>
        <v>#DIV/0!</v>
      </c>
      <c r="W49" s="3616"/>
      <c r="X49" s="1557"/>
      <c r="Y49" s="1557"/>
      <c r="Z49" s="1557"/>
      <c r="AA49" s="1557"/>
      <c r="AB49" s="1557"/>
      <c r="AC49" s="1557"/>
    </row>
    <row r="50" spans="1:29" ht="21" thickBot="1">
      <c r="A50" s="619" t="s">
        <v>2936</v>
      </c>
      <c r="B50" s="620"/>
      <c r="C50" s="621" t="e">
        <f>R50</f>
        <v>#DIV/0!</v>
      </c>
      <c r="D50" s="621"/>
      <c r="E50" s="621"/>
      <c r="F50" s="621"/>
      <c r="G50" s="621"/>
      <c r="H50" s="621"/>
      <c r="I50" s="621"/>
      <c r="J50" s="621"/>
      <c r="K50" s="1339"/>
      <c r="L50" s="2143"/>
      <c r="M50" s="2131"/>
      <c r="N50" s="2131"/>
      <c r="O50" s="2144"/>
      <c r="P50" s="3611" t="str">
        <f>A50</f>
        <v>估价对象XX用房的比较价格（楼面单价，元/平方米）</v>
      </c>
      <c r="Q50" s="3612"/>
      <c r="R50" s="3613" t="e">
        <f>ROUND(AVERAGE(R49:V49),0)</f>
        <v>#DIV/0!</v>
      </c>
      <c r="S50" s="3613"/>
      <c r="T50" s="3613"/>
      <c r="U50" s="3613"/>
      <c r="V50" s="3613"/>
      <c r="W50" s="3613"/>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560</v>
      </c>
      <c r="B57" s="628" t="s">
        <v>561</v>
      </c>
      <c r="C57" s="1558" t="s">
        <v>1725</v>
      </c>
      <c r="D57" s="2226" t="s">
        <v>2296</v>
      </c>
      <c r="E57" s="629" t="s">
        <v>562</v>
      </c>
      <c r="F57" s="630" t="s">
        <v>563</v>
      </c>
      <c r="G57" s="3640" t="s">
        <v>2284</v>
      </c>
      <c r="H57" s="3641"/>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1" t="s">
        <v>564</v>
      </c>
      <c r="B58" s="632" t="e">
        <f>C50</f>
        <v>#DIV/0!</v>
      </c>
      <c r="C58" s="633">
        <v>1</v>
      </c>
      <c r="D58" s="2227">
        <v>1</v>
      </c>
      <c r="E58" s="633">
        <f>'数据-汇总表'!E8+'数据-汇总表'!E9</f>
        <v>10000</v>
      </c>
      <c r="F58" s="634" t="e">
        <f t="shared" ref="F58:F67" si="15">ROUND(B58*E58/10000,0)</f>
        <v>#DIV/0!</v>
      </c>
      <c r="G58" s="3642"/>
      <c r="H58" s="364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565</v>
      </c>
      <c r="B59" s="636" t="e">
        <f>ROUND($C$50*C59*D59,0)</f>
        <v>#DIV/0!</v>
      </c>
      <c r="C59" s="376">
        <f t="shared" ref="C59:C67" si="16">IF($C$57="北京市系数",I59,J59)</f>
        <v>0</v>
      </c>
      <c r="D59" s="2228">
        <v>0.25</v>
      </c>
      <c r="E59" s="637">
        <v>0</v>
      </c>
      <c r="F59" s="634" t="e">
        <f t="shared" si="15"/>
        <v>#DIV/0!</v>
      </c>
      <c r="G59" s="3644" t="s">
        <v>2285</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566</v>
      </c>
      <c r="B60" s="636" t="e">
        <f t="shared" ref="B60:B67" si="17">ROUND($C$50*C60*D60,0)</f>
        <v>#DIV/0!</v>
      </c>
      <c r="C60" s="376">
        <f t="shared" si="16"/>
        <v>0</v>
      </c>
      <c r="D60" s="2228">
        <v>0.25</v>
      </c>
      <c r="E60" s="637">
        <v>0</v>
      </c>
      <c r="F60" s="634" t="e">
        <f t="shared" si="15"/>
        <v>#DIV/0!</v>
      </c>
      <c r="G60" s="364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567</v>
      </c>
      <c r="B61" s="636" t="e">
        <f t="shared" si="17"/>
        <v>#DIV/0!</v>
      </c>
      <c r="C61" s="376">
        <f t="shared" si="16"/>
        <v>0</v>
      </c>
      <c r="D61" s="2228">
        <v>0.25</v>
      </c>
      <c r="E61" s="637">
        <v>0</v>
      </c>
      <c r="F61" s="634" t="e">
        <f t="shared" si="15"/>
        <v>#DIV/0!</v>
      </c>
      <c r="G61" s="364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5" t="s">
        <v>568</v>
      </c>
      <c r="B62" s="636" t="e">
        <f t="shared" si="17"/>
        <v>#DIV/0!</v>
      </c>
      <c r="C62" s="376">
        <f t="shared" si="16"/>
        <v>0</v>
      </c>
      <c r="D62" s="2228">
        <v>0.25</v>
      </c>
      <c r="E62" s="637">
        <v>0</v>
      </c>
      <c r="F62" s="634" t="e">
        <f t="shared" si="15"/>
        <v>#DIV/0!</v>
      </c>
      <c r="G62" s="364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6" t="e">
        <f t="shared" si="17"/>
        <v>#DIV/0!</v>
      </c>
      <c r="C63" s="376">
        <f t="shared" si="16"/>
        <v>0.3</v>
      </c>
      <c r="D63" s="2228">
        <v>0.25</v>
      </c>
      <c r="E63" s="639">
        <f>'数据-汇总表'!E11</f>
        <v>0</v>
      </c>
      <c r="F63" s="634" t="e">
        <f t="shared" si="15"/>
        <v>#DIV/0!</v>
      </c>
      <c r="G63" s="1944" t="s">
        <v>2286</v>
      </c>
      <c r="H63" s="1947" t="str">
        <f>项目基本情况!C43</f>
        <v>二级</v>
      </c>
      <c r="I63" s="1554">
        <f>SUMIF(修正!$A$45:$A$56,H63,修正!F45:F56)</f>
        <v>0.3</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5" t="s">
        <v>569</v>
      </c>
      <c r="B64" s="636" t="e">
        <f t="shared" si="17"/>
        <v>#DIV/0!</v>
      </c>
      <c r="C64" s="376">
        <f t="shared" si="16"/>
        <v>0.3</v>
      </c>
      <c r="D64" s="2228">
        <v>0.25</v>
      </c>
      <c r="E64" s="639">
        <f>'数据-汇总表'!E12</f>
        <v>0</v>
      </c>
      <c r="F64" s="634" t="e">
        <f t="shared" si="15"/>
        <v>#DIV/0!</v>
      </c>
      <c r="G64" s="1945" t="s">
        <v>1678</v>
      </c>
      <c r="H64" s="1943" t="str">
        <f>IF(G64="商业",项目基本情况!B43,IF(G64="办公",项目基本情况!C43,IF(G64="住宅",项目基本情况!D43,项目基本情况!E43)))</f>
        <v>二级</v>
      </c>
      <c r="I64" s="1554">
        <f>SUMIF(修正!$A$45:$A$56,H64,修正!G45:G56)</f>
        <v>0.3</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5" t="s">
        <v>570</v>
      </c>
      <c r="B65" s="636" t="e">
        <f t="shared" si="17"/>
        <v>#DIV/0!</v>
      </c>
      <c r="C65" s="376">
        <f t="shared" si="16"/>
        <v>0</v>
      </c>
      <c r="D65" s="2228">
        <v>0.25</v>
      </c>
      <c r="E65" s="639">
        <f>'数据-汇总表'!E13</f>
        <v>0</v>
      </c>
      <c r="F65" s="634" t="e">
        <f t="shared" si="15"/>
        <v>#DIV/0!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5" t="s">
        <v>571</v>
      </c>
      <c r="B66" s="636" t="e">
        <f t="shared" si="17"/>
        <v>#DIV/0!</v>
      </c>
      <c r="C66" s="376">
        <f t="shared" si="16"/>
        <v>0</v>
      </c>
      <c r="D66" s="2228">
        <v>0.25</v>
      </c>
      <c r="E66" s="639">
        <f>'数据-汇总表'!E14</f>
        <v>0</v>
      </c>
      <c r="F66" s="634" t="e">
        <f t="shared" si="15"/>
        <v>#DIV/0!</v>
      </c>
      <c r="G66" s="1944" t="s">
        <v>2285</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5" t="s">
        <v>572</v>
      </c>
      <c r="B67" s="636" t="e">
        <f t="shared" si="17"/>
        <v>#DIV/0!</v>
      </c>
      <c r="C67" s="376">
        <f t="shared" si="16"/>
        <v>0.25</v>
      </c>
      <c r="D67" s="2228">
        <v>0.25</v>
      </c>
      <c r="E67" s="639">
        <f>'数据-汇总表'!E15</f>
        <v>0</v>
      </c>
      <c r="F67" s="634" t="e">
        <f t="shared" si="15"/>
        <v>#DIV/0!</v>
      </c>
      <c r="G67" s="1946" t="s">
        <v>2286</v>
      </c>
      <c r="H67" s="1948" t="str">
        <f>项目基本情况!C43</f>
        <v>二级</v>
      </c>
      <c r="I67" s="1554">
        <f>SUMIF(修正!$A$45:$A$56,H67,修正!H45:H56)</f>
        <v>0.25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18" t="str">
        <f>YEAR(C9)&amp;"-"&amp;MONTH(C9)&amp;"-1"</f>
        <v>2018-10-1</v>
      </c>
      <c r="D70" s="2818">
        <f>EDATE(C70,-3)</f>
        <v>43282</v>
      </c>
      <c r="E70" s="2818">
        <f t="shared" ref="E70:N70" si="18">EDATE(D70,-3)</f>
        <v>43191</v>
      </c>
      <c r="F70" s="2818">
        <f t="shared" si="18"/>
        <v>43101</v>
      </c>
      <c r="G70" s="2818">
        <f t="shared" si="18"/>
        <v>43009</v>
      </c>
      <c r="H70" s="2818">
        <f t="shared" si="18"/>
        <v>42917</v>
      </c>
      <c r="I70" s="2818">
        <f t="shared" si="18"/>
        <v>42826</v>
      </c>
      <c r="J70" s="2818">
        <f t="shared" si="18"/>
        <v>42736</v>
      </c>
      <c r="K70" s="2818">
        <f t="shared" si="18"/>
        <v>42644</v>
      </c>
      <c r="L70" s="2818">
        <f t="shared" si="18"/>
        <v>42552</v>
      </c>
      <c r="M70" s="2818">
        <f t="shared" si="18"/>
        <v>42461</v>
      </c>
      <c r="N70" s="2818">
        <f t="shared" si="18"/>
        <v>42370</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89" t="s">
        <v>2536</v>
      </c>
      <c r="B72" s="2590"/>
      <c r="C72" s="2814" t="str">
        <f>YEAR(C70)&amp;"-"&amp;ROUNDUP(MONTH(C70)/3,0)</f>
        <v>2018-4</v>
      </c>
      <c r="D72" s="2820" t="str">
        <f>YEAR(D70)&amp;"-"&amp;ROUNDUP(MONTH(D70)/3,0)</f>
        <v>2018-3</v>
      </c>
      <c r="E72" s="2820" t="str">
        <f t="shared" ref="E72:N72" si="19">YEAR(E70)&amp;"-"&amp;ROUNDUP(MONTH(E70)/3,0)</f>
        <v>2018-2</v>
      </c>
      <c r="F72" s="2820" t="str">
        <f t="shared" si="19"/>
        <v>2018-1</v>
      </c>
      <c r="G72" s="2820" t="str">
        <f t="shared" si="19"/>
        <v>2017-4</v>
      </c>
      <c r="H72" s="2820" t="str">
        <f t="shared" si="19"/>
        <v>2017-3</v>
      </c>
      <c r="I72" s="2820" t="str">
        <f t="shared" si="19"/>
        <v>2017-2</v>
      </c>
      <c r="J72" s="2820" t="str">
        <f t="shared" si="19"/>
        <v>2017-1</v>
      </c>
      <c r="K72" s="2820" t="str">
        <f t="shared" si="19"/>
        <v>2016-4</v>
      </c>
      <c r="L72" s="2820" t="str">
        <f t="shared" si="19"/>
        <v>2016-3</v>
      </c>
      <c r="M72" s="2820" t="str">
        <f t="shared" si="19"/>
        <v>2016-2</v>
      </c>
      <c r="N72" s="2820" t="str">
        <f t="shared" si="19"/>
        <v>2016-1</v>
      </c>
      <c r="O72" s="2158"/>
      <c r="P72" s="2159"/>
      <c r="Q72" s="2160"/>
      <c r="R72" s="2160"/>
      <c r="S72" s="2160"/>
      <c r="T72" s="2160"/>
      <c r="U72" s="2160"/>
      <c r="V72" s="2160"/>
      <c r="W72" s="2160"/>
      <c r="X72" s="2160"/>
      <c r="Y72" s="2160"/>
      <c r="Z72" s="2160"/>
      <c r="AA72" s="2160"/>
      <c r="AB72" s="2160"/>
      <c r="AC72" s="2160"/>
    </row>
    <row r="73" spans="1:29" s="1217" customFormat="1" ht="27" customHeight="1">
      <c r="A73" s="2825" t="s">
        <v>2651</v>
      </c>
      <c r="B73" s="477" t="str">
        <f>"北京市平均增长率"&amp;TEXT(SUMIF(基准地价!N21:N25,A73,基准地价!P21:P25),"0.00%")</f>
        <v>北京市平均增长率2.19%</v>
      </c>
      <c r="C73" s="892">
        <v>100</v>
      </c>
      <c r="D73" s="728"/>
      <c r="E73" s="728"/>
      <c r="F73" s="728"/>
      <c r="G73" s="728"/>
      <c r="H73" s="728"/>
      <c r="I73" s="728"/>
      <c r="J73" s="728"/>
      <c r="K73" s="728"/>
      <c r="L73" s="728"/>
      <c r="M73" s="2812"/>
      <c r="N73" s="2813"/>
      <c r="O73" s="2161"/>
      <c r="P73" s="2157"/>
      <c r="Q73" s="1992"/>
      <c r="R73" s="1992"/>
      <c r="S73" s="1992"/>
      <c r="T73" s="1992"/>
      <c r="U73" s="1992"/>
      <c r="V73" s="1992"/>
      <c r="W73" s="1992"/>
      <c r="X73" s="1992"/>
      <c r="Y73" s="1992"/>
      <c r="Z73" s="1992"/>
      <c r="AA73" s="1992"/>
      <c r="AB73" s="1992"/>
      <c r="AC73" s="1992"/>
    </row>
    <row r="74" spans="1:29" s="1217" customFormat="1" ht="15" customHeight="1" thickBot="1">
      <c r="A74" s="2815" t="s">
        <v>2650</v>
      </c>
      <c r="B74" s="2824"/>
      <c r="C74" s="2810"/>
      <c r="D74" s="2811"/>
      <c r="E74" s="2811"/>
      <c r="F74" s="2811"/>
      <c r="G74" s="2811"/>
      <c r="H74" s="2811"/>
      <c r="I74" s="2811"/>
      <c r="J74" s="2811"/>
      <c r="K74" s="2811"/>
      <c r="L74" s="2811"/>
      <c r="M74" s="2811"/>
      <c r="N74" s="2811"/>
      <c r="O74" s="2161"/>
      <c r="P74" s="2157"/>
      <c r="Q74" s="2157"/>
      <c r="R74" s="1992"/>
      <c r="S74" s="1992"/>
      <c r="T74" s="1992"/>
      <c r="U74" s="1992"/>
      <c r="V74" s="1992"/>
      <c r="W74" s="1992"/>
      <c r="X74" s="1992"/>
      <c r="Y74" s="1992"/>
      <c r="Z74" s="1992"/>
      <c r="AA74" s="1992"/>
      <c r="AB74" s="1992"/>
      <c r="AC74" s="1992"/>
    </row>
    <row r="75" spans="1:29" s="1217" customFormat="1" ht="15">
      <c r="A75" s="657" t="s">
        <v>531</v>
      </c>
      <c r="B75" s="646"/>
      <c r="C75" s="658" t="s">
        <v>576</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577</v>
      </c>
      <c r="B77" s="663" t="s">
        <v>534</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537</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539</v>
      </c>
      <c r="B90" s="663" t="s">
        <v>578</v>
      </c>
      <c r="C90" s="701" t="s">
        <v>579</v>
      </c>
      <c r="D90" s="701" t="s">
        <v>580</v>
      </c>
      <c r="E90" s="701" t="s">
        <v>581</v>
      </c>
      <c r="F90" s="701" t="s">
        <v>582</v>
      </c>
      <c r="G90" s="701" t="s">
        <v>583</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584</v>
      </c>
      <c r="C92" s="706" t="s">
        <v>579</v>
      </c>
      <c r="D92" s="706" t="s">
        <v>580</v>
      </c>
      <c r="E92" s="706" t="s">
        <v>581</v>
      </c>
      <c r="F92" s="706" t="s">
        <v>582</v>
      </c>
      <c r="G92" s="706" t="s">
        <v>583</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585</v>
      </c>
      <c r="C94" s="706" t="s">
        <v>579</v>
      </c>
      <c r="D94" s="706" t="s">
        <v>580</v>
      </c>
      <c r="E94" s="706" t="s">
        <v>581</v>
      </c>
      <c r="F94" s="706" t="s">
        <v>582</v>
      </c>
      <c r="G94" s="706" t="s">
        <v>583</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586</v>
      </c>
      <c r="C96" s="706" t="s">
        <v>579</v>
      </c>
      <c r="D96" s="706" t="s">
        <v>580</v>
      </c>
      <c r="E96" s="706" t="s">
        <v>581</v>
      </c>
      <c r="F96" s="706" t="s">
        <v>582</v>
      </c>
      <c r="G96" s="706" t="s">
        <v>583</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5"/>
      <c r="B102" s="1895" t="s">
        <v>2552</v>
      </c>
      <c r="C102" s="701" t="s">
        <v>579</v>
      </c>
      <c r="D102" s="701" t="s">
        <v>580</v>
      </c>
      <c r="E102" s="701" t="s">
        <v>581</v>
      </c>
      <c r="F102" s="701" t="s">
        <v>582</v>
      </c>
      <c r="G102" s="701" t="s">
        <v>583</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5"/>
      <c r="B104" s="2618" t="s">
        <v>2554</v>
      </c>
      <c r="C104" s="2619" t="s">
        <v>2555</v>
      </c>
      <c r="D104" s="2619" t="s">
        <v>2556</v>
      </c>
      <c r="E104" s="2619" t="s">
        <v>2557</v>
      </c>
      <c r="F104" s="2619" t="s">
        <v>2558</v>
      </c>
      <c r="G104" s="2619" t="s">
        <v>2559</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548</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549</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2" t="str">
        <f t="shared" si="25"/>
        <v>(含)-</v>
      </c>
      <c r="K118" s="3112" t="str">
        <f t="shared" si="25"/>
        <v>(含)-</v>
      </c>
      <c r="L118" s="3113" t="str">
        <f t="shared" si="25"/>
        <v>(含)-</v>
      </c>
      <c r="M118" s="311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594</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595</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6"/>
      <c r="B125" s="1895" t="s">
        <v>2429</v>
      </c>
      <c r="C125" s="1373"/>
      <c r="D125" s="1373"/>
      <c r="E125" s="1373"/>
      <c r="F125" s="1373"/>
      <c r="G125" s="1373"/>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596</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521</v>
      </c>
      <c r="B6" s="511"/>
      <c r="C6" s="3620" t="s">
        <v>522</v>
      </c>
      <c r="D6" s="3621"/>
      <c r="E6" s="3654" t="s">
        <v>523</v>
      </c>
      <c r="F6" s="3655"/>
      <c r="G6" s="3620" t="s">
        <v>524</v>
      </c>
      <c r="H6" s="3621"/>
      <c r="I6" s="3620" t="s">
        <v>525</v>
      </c>
      <c r="J6" s="3621"/>
      <c r="K6" s="512" t="s">
        <v>526</v>
      </c>
      <c r="L6" s="2132"/>
      <c r="M6" s="2133"/>
      <c r="N6" s="2133"/>
      <c r="O6" s="2133"/>
      <c r="P6" s="3622" t="s">
        <v>527</v>
      </c>
      <c r="Q6" s="3623"/>
      <c r="R6" s="3628" t="s">
        <v>523</v>
      </c>
      <c r="S6" s="3629"/>
      <c r="T6" s="3628" t="s">
        <v>524</v>
      </c>
      <c r="U6" s="3629"/>
      <c r="V6" s="3615" t="s">
        <v>525</v>
      </c>
      <c r="W6" s="3615"/>
      <c r="X6" s="1565"/>
      <c r="Y6" s="3628" t="s">
        <v>527</v>
      </c>
      <c r="Z6" s="3629"/>
      <c r="AA6" s="3617" t="s">
        <v>523</v>
      </c>
      <c r="AB6" s="3618" t="s">
        <v>524</v>
      </c>
      <c r="AC6" s="3617" t="s">
        <v>525</v>
      </c>
    </row>
    <row r="7" spans="1:29" ht="15">
      <c r="A7" s="513"/>
      <c r="B7" s="514"/>
      <c r="C7" s="3636" t="s">
        <v>2930</v>
      </c>
      <c r="D7" s="3637"/>
      <c r="E7" s="3656" t="s">
        <v>2931</v>
      </c>
      <c r="F7" s="3657"/>
      <c r="G7" s="3636" t="s">
        <v>2932</v>
      </c>
      <c r="H7" s="3637"/>
      <c r="I7" s="3636" t="s">
        <v>2933</v>
      </c>
      <c r="J7" s="3637"/>
      <c r="K7" s="512"/>
      <c r="L7" s="2132"/>
      <c r="M7" s="2133"/>
      <c r="N7" s="2133"/>
      <c r="O7" s="2133"/>
      <c r="P7" s="3624"/>
      <c r="Q7" s="3625"/>
      <c r="R7" s="3630"/>
      <c r="S7" s="3631"/>
      <c r="T7" s="3630"/>
      <c r="U7" s="3631"/>
      <c r="V7" s="3615"/>
      <c r="W7" s="3615"/>
      <c r="X7" s="1565"/>
      <c r="Y7" s="3630"/>
      <c r="Z7" s="3631"/>
      <c r="AA7" s="3618"/>
      <c r="AB7" s="3618"/>
      <c r="AC7" s="3618"/>
    </row>
    <row r="8" spans="1:29" ht="15.75" thickBot="1">
      <c r="A8" s="515"/>
      <c r="B8" s="516"/>
      <c r="C8" s="3634" t="s">
        <v>2934</v>
      </c>
      <c r="D8" s="3635"/>
      <c r="E8" s="3652" t="s">
        <v>2934</v>
      </c>
      <c r="F8" s="3653"/>
      <c r="G8" s="3634" t="s">
        <v>2934</v>
      </c>
      <c r="H8" s="3635"/>
      <c r="I8" s="3634" t="s">
        <v>2934</v>
      </c>
      <c r="J8" s="3635"/>
      <c r="K8" s="512" t="s">
        <v>528</v>
      </c>
      <c r="L8" s="2132"/>
      <c r="M8" s="2133"/>
      <c r="N8" s="2133"/>
      <c r="O8" s="2133"/>
      <c r="P8" s="3626"/>
      <c r="Q8" s="3627"/>
      <c r="R8" s="3630"/>
      <c r="S8" s="3631"/>
      <c r="T8" s="3632"/>
      <c r="U8" s="3633"/>
      <c r="V8" s="3615"/>
      <c r="W8" s="3615"/>
      <c r="X8" s="1565"/>
      <c r="Y8" s="3632"/>
      <c r="Z8" s="3633"/>
      <c r="AA8" s="3619"/>
      <c r="AB8" s="3619"/>
      <c r="AC8" s="3619"/>
    </row>
    <row r="9" spans="1:29" s="1217" customFormat="1" ht="15.75" thickBot="1">
      <c r="A9" s="2931"/>
      <c r="B9" s="2938" t="s">
        <v>529</v>
      </c>
      <c r="C9" s="517">
        <f>'数据-取费表'!B2</f>
        <v>43382</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645" t="s">
        <v>530</v>
      </c>
      <c r="Q9" s="3647"/>
      <c r="R9" s="1566" t="s">
        <v>8</v>
      </c>
      <c r="S9" s="1567">
        <f t="shared" ref="S9:S17" si="0">F9</f>
        <v>0</v>
      </c>
      <c r="T9" s="1566" t="s">
        <v>8</v>
      </c>
      <c r="U9" s="1567">
        <f t="shared" ref="U9:U17" si="1">H9</f>
        <v>0</v>
      </c>
      <c r="V9" s="1566" t="s">
        <v>8</v>
      </c>
      <c r="W9" s="1567">
        <f t="shared" ref="W9:W17" si="2">J9</f>
        <v>0</v>
      </c>
      <c r="X9" s="1568"/>
      <c r="Y9" s="3645" t="s">
        <v>530</v>
      </c>
      <c r="Z9" s="3646"/>
      <c r="AA9" s="1569" t="e">
        <f>D9/F9</f>
        <v>#DIV/0!</v>
      </c>
      <c r="AB9" s="1569" t="e">
        <f>D9/H9</f>
        <v>#DIV/0!</v>
      </c>
      <c r="AC9" s="1569" t="e">
        <f>D9/J9</f>
        <v>#DIV/0!</v>
      </c>
    </row>
    <row r="10" spans="1:29" s="1217" customFormat="1" ht="15.75" thickBot="1">
      <c r="A10" s="2932"/>
      <c r="B10" s="293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645" t="s">
        <v>533</v>
      </c>
      <c r="Q10" s="3646"/>
      <c r="R10" s="1566" t="s">
        <v>8</v>
      </c>
      <c r="S10" s="1567">
        <f t="shared" si="0"/>
        <v>0</v>
      </c>
      <c r="T10" s="1566" t="s">
        <v>8</v>
      </c>
      <c r="U10" s="1567">
        <f t="shared" si="1"/>
        <v>0</v>
      </c>
      <c r="V10" s="1566" t="s">
        <v>8</v>
      </c>
      <c r="W10" s="1567">
        <f t="shared" si="2"/>
        <v>0</v>
      </c>
      <c r="X10" s="1568"/>
      <c r="Y10" s="3645" t="s">
        <v>533</v>
      </c>
      <c r="Z10" s="3646"/>
      <c r="AA10" s="1569" t="e">
        <f t="shared" ref="AA10:AA42" si="3">D10/F10</f>
        <v>#DIV/0!</v>
      </c>
      <c r="AB10" s="1569" t="e">
        <f t="shared" ref="AB10:AB42" si="4">D10/H10</f>
        <v>#DIV/0!</v>
      </c>
      <c r="AC10" s="1569" t="e">
        <f t="shared" ref="AC10:AC42" si="5">D10/J10</f>
        <v>#DIV/0!</v>
      </c>
    </row>
    <row r="11" spans="1:29" s="1217" customFormat="1" ht="15">
      <c r="A11" s="2933"/>
      <c r="B11" s="2940" t="s">
        <v>2760</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614" t="s">
        <v>535</v>
      </c>
      <c r="Q11" s="1148" t="str">
        <f t="shared" ref="Q11:Q17" si="6">B11</f>
        <v>用途</v>
      </c>
      <c r="R11" s="1566" t="s">
        <v>8</v>
      </c>
      <c r="S11" s="1567">
        <f t="shared" si="0"/>
        <v>100</v>
      </c>
      <c r="T11" s="1566" t="s">
        <v>8</v>
      </c>
      <c r="U11" s="1567">
        <f t="shared" si="1"/>
        <v>100</v>
      </c>
      <c r="V11" s="1566" t="s">
        <v>8</v>
      </c>
      <c r="W11" s="1567">
        <f t="shared" si="2"/>
        <v>100</v>
      </c>
      <c r="X11" s="1568"/>
      <c r="Y11" s="3448" t="s">
        <v>536</v>
      </c>
      <c r="Z11" s="1147" t="str">
        <f t="shared" ref="Z11:Z17" si="7">Q11</f>
        <v>用途</v>
      </c>
      <c r="AA11" s="1569">
        <f t="shared" si="3"/>
        <v>1</v>
      </c>
      <c r="AB11" s="1569">
        <f t="shared" si="4"/>
        <v>1</v>
      </c>
      <c r="AC11" s="1569">
        <f t="shared" si="5"/>
        <v>1</v>
      </c>
    </row>
    <row r="12" spans="1:29" s="1335" customFormat="1" ht="27">
      <c r="A12" s="2934"/>
      <c r="B12" s="2939" t="s">
        <v>2761</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614"/>
      <c r="Q12" s="1148" t="str">
        <f t="shared" si="6"/>
        <v>土地使用年限（年）</v>
      </c>
      <c r="R12" s="1566" t="s">
        <v>8</v>
      </c>
      <c r="S12" s="1567">
        <f t="shared" si="0"/>
        <v>100</v>
      </c>
      <c r="T12" s="1566" t="s">
        <v>8</v>
      </c>
      <c r="U12" s="1567">
        <f t="shared" si="1"/>
        <v>100</v>
      </c>
      <c r="V12" s="1566" t="s">
        <v>8</v>
      </c>
      <c r="W12" s="1567">
        <f t="shared" si="2"/>
        <v>100</v>
      </c>
      <c r="X12" s="1568"/>
      <c r="Y12" s="3448"/>
      <c r="Z12" s="1147" t="str">
        <f t="shared" si="7"/>
        <v>土地使用年限（年）</v>
      </c>
      <c r="AA12" s="1569">
        <f t="shared" si="3"/>
        <v>1</v>
      </c>
      <c r="AB12" s="1569">
        <f t="shared" si="4"/>
        <v>1</v>
      </c>
      <c r="AC12" s="1569">
        <f t="shared" si="5"/>
        <v>1</v>
      </c>
    </row>
    <row r="13" spans="1:29" ht="15">
      <c r="A13" s="2935"/>
      <c r="B13" s="2939"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614"/>
      <c r="Q13" s="1148" t="str">
        <f t="shared" si="6"/>
        <v>容积率</v>
      </c>
      <c r="R13" s="1566" t="s">
        <v>8</v>
      </c>
      <c r="S13" s="1567" t="e">
        <f t="shared" si="0"/>
        <v>#N/A</v>
      </c>
      <c r="T13" s="1566" t="s">
        <v>8</v>
      </c>
      <c r="U13" s="1567" t="e">
        <f t="shared" si="1"/>
        <v>#N/A</v>
      </c>
      <c r="V13" s="1566" t="s">
        <v>8</v>
      </c>
      <c r="W13" s="1567" t="e">
        <f t="shared" si="2"/>
        <v>#N/A</v>
      </c>
      <c r="X13" s="1568"/>
      <c r="Y13" s="3448"/>
      <c r="Z13" s="1147" t="str">
        <f t="shared" si="7"/>
        <v>容积率</v>
      </c>
      <c r="AA13" s="1569" t="e">
        <f t="shared" si="3"/>
        <v>#N/A</v>
      </c>
      <c r="AB13" s="1569" t="e">
        <f t="shared" si="4"/>
        <v>#N/A</v>
      </c>
      <c r="AC13" s="1569" t="e">
        <f t="shared" si="5"/>
        <v>#N/A</v>
      </c>
    </row>
    <row r="14" spans="1:29" s="1217" customFormat="1" ht="15">
      <c r="A14" s="2936"/>
      <c r="B14" s="294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614"/>
      <c r="Q14" s="1148">
        <f t="shared" si="6"/>
        <v>111</v>
      </c>
      <c r="R14" s="1566" t="s">
        <v>8</v>
      </c>
      <c r="S14" s="1567">
        <f t="shared" si="0"/>
        <v>100</v>
      </c>
      <c r="T14" s="1566" t="s">
        <v>8</v>
      </c>
      <c r="U14" s="1567">
        <f t="shared" si="1"/>
        <v>100</v>
      </c>
      <c r="V14" s="1566" t="s">
        <v>8</v>
      </c>
      <c r="W14" s="1567">
        <f t="shared" si="2"/>
        <v>100</v>
      </c>
      <c r="X14" s="1568"/>
      <c r="Y14" s="3448"/>
      <c r="Z14" s="1147">
        <f t="shared" si="7"/>
        <v>111</v>
      </c>
      <c r="AA14" s="1569">
        <f>D14/F14</f>
        <v>1</v>
      </c>
      <c r="AB14" s="1569">
        <f>D14/H14</f>
        <v>1</v>
      </c>
      <c r="AC14" s="1569">
        <f>D14/J14</f>
        <v>1</v>
      </c>
    </row>
    <row r="15" spans="1:29" ht="15">
      <c r="A15" s="2936"/>
      <c r="B15" s="294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614"/>
      <c r="Q15" s="1148">
        <f t="shared" si="6"/>
        <v>111</v>
      </c>
      <c r="R15" s="1566" t="s">
        <v>8</v>
      </c>
      <c r="S15" s="1567">
        <f t="shared" si="0"/>
        <v>100</v>
      </c>
      <c r="T15" s="1566" t="s">
        <v>8</v>
      </c>
      <c r="U15" s="1567">
        <f t="shared" si="1"/>
        <v>100</v>
      </c>
      <c r="V15" s="1566" t="s">
        <v>8</v>
      </c>
      <c r="W15" s="1567">
        <f t="shared" si="2"/>
        <v>100</v>
      </c>
      <c r="X15" s="1568"/>
      <c r="Y15" s="3448"/>
      <c r="Z15" s="1147">
        <f t="shared" si="7"/>
        <v>111</v>
      </c>
      <c r="AA15" s="1569">
        <f t="shared" si="3"/>
        <v>1</v>
      </c>
      <c r="AB15" s="1569">
        <f t="shared" si="4"/>
        <v>1</v>
      </c>
      <c r="AC15" s="1569">
        <f t="shared" si="5"/>
        <v>1</v>
      </c>
    </row>
    <row r="16" spans="1:29" ht="15.75" thickBot="1">
      <c r="A16" s="2937"/>
      <c r="B16" s="294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614"/>
      <c r="Q16" s="1148">
        <f t="shared" si="6"/>
        <v>111</v>
      </c>
      <c r="R16" s="1566" t="s">
        <v>8</v>
      </c>
      <c r="S16" s="1567">
        <f t="shared" si="0"/>
        <v>100</v>
      </c>
      <c r="T16" s="1566" t="s">
        <v>8</v>
      </c>
      <c r="U16" s="1567">
        <f t="shared" si="1"/>
        <v>100</v>
      </c>
      <c r="V16" s="1566" t="s">
        <v>8</v>
      </c>
      <c r="W16" s="1567">
        <f t="shared" si="2"/>
        <v>100</v>
      </c>
      <c r="X16" s="1568"/>
      <c r="Y16" s="3448"/>
      <c r="Z16" s="1147">
        <f t="shared" si="7"/>
        <v>111</v>
      </c>
      <c r="AA16" s="1569">
        <f t="shared" si="3"/>
        <v>1</v>
      </c>
      <c r="AB16" s="1569">
        <f t="shared" si="4"/>
        <v>1</v>
      </c>
      <c r="AC16" s="1569">
        <f t="shared" si="5"/>
        <v>1</v>
      </c>
    </row>
    <row r="17" spans="1:29" ht="57">
      <c r="A17" s="2929"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648" t="s">
        <v>540</v>
      </c>
      <c r="Q17" s="1570" t="str">
        <f t="shared" si="6"/>
        <v>产业集聚程度</v>
      </c>
      <c r="R17" s="1571" t="s">
        <v>8</v>
      </c>
      <c r="S17" s="1572">
        <f t="shared" si="0"/>
        <v>100</v>
      </c>
      <c r="T17" s="1571" t="s">
        <v>8</v>
      </c>
      <c r="U17" s="1572">
        <f t="shared" si="1"/>
        <v>100</v>
      </c>
      <c r="V17" s="1571" t="s">
        <v>8</v>
      </c>
      <c r="W17" s="1572">
        <f t="shared" si="2"/>
        <v>100</v>
      </c>
      <c r="X17" s="1565"/>
      <c r="Y17" s="3648"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649"/>
      <c r="Q18" s="1570"/>
      <c r="R18" s="1571"/>
      <c r="S18" s="1572"/>
      <c r="T18" s="1571"/>
      <c r="U18" s="1572"/>
      <c r="V18" s="1571"/>
      <c r="W18" s="1572"/>
      <c r="X18" s="1565"/>
      <c r="Y18" s="3649"/>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649"/>
      <c r="Q19" s="1570" t="str">
        <f>B19</f>
        <v>交通便捷度</v>
      </c>
      <c r="R19" s="1571" t="s">
        <v>8</v>
      </c>
      <c r="S19" s="1572">
        <f>F19</f>
        <v>100</v>
      </c>
      <c r="T19" s="1571" t="s">
        <v>8</v>
      </c>
      <c r="U19" s="1572">
        <f>H19</f>
        <v>100</v>
      </c>
      <c r="V19" s="1571" t="s">
        <v>8</v>
      </c>
      <c r="W19" s="1572">
        <f>J19</f>
        <v>100</v>
      </c>
      <c r="X19" s="1565"/>
      <c r="Y19" s="364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649"/>
      <c r="Q20" s="1570"/>
      <c r="R20" s="1571"/>
      <c r="S20" s="1572"/>
      <c r="T20" s="1571"/>
      <c r="U20" s="1572"/>
      <c r="V20" s="1571"/>
      <c r="W20" s="1572"/>
      <c r="X20" s="1565"/>
      <c r="Y20" s="3649"/>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649"/>
      <c r="Q21" s="1570" t="str">
        <f t="shared" ref="Q21:Q35" si="8">B21</f>
        <v>区域土地利用方向</v>
      </c>
      <c r="R21" s="1571" t="s">
        <v>8</v>
      </c>
      <c r="S21" s="1572">
        <f>F21</f>
        <v>100</v>
      </c>
      <c r="T21" s="1571" t="s">
        <v>8</v>
      </c>
      <c r="U21" s="1572">
        <f>H21</f>
        <v>100</v>
      </c>
      <c r="V21" s="1571" t="s">
        <v>8</v>
      </c>
      <c r="W21" s="1572">
        <f>J21</f>
        <v>100</v>
      </c>
      <c r="X21" s="1565"/>
      <c r="Y21" s="364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1"/>
      <c r="M22" s="2133"/>
      <c r="N22" s="2133"/>
      <c r="O22" s="2140"/>
      <c r="P22" s="3649"/>
      <c r="Q22" s="1570"/>
      <c r="R22" s="1571"/>
      <c r="S22" s="1572"/>
      <c r="T22" s="1571"/>
      <c r="U22" s="1572"/>
      <c r="V22" s="1571"/>
      <c r="W22" s="1572"/>
      <c r="X22" s="1565"/>
      <c r="Y22" s="3649"/>
      <c r="Z22" s="1573"/>
      <c r="AA22" s="1574"/>
      <c r="AB22" s="1574"/>
      <c r="AC22" s="1574"/>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649"/>
      <c r="Q23" s="1570" t="str">
        <f t="shared" si="8"/>
        <v>环境状况</v>
      </c>
      <c r="R23" s="1571" t="s">
        <v>8</v>
      </c>
      <c r="S23" s="1572">
        <f>F23</f>
        <v>100</v>
      </c>
      <c r="T23" s="1571" t="s">
        <v>8</v>
      </c>
      <c r="U23" s="1572">
        <f>H23</f>
        <v>100</v>
      </c>
      <c r="V23" s="1571" t="s">
        <v>8</v>
      </c>
      <c r="W23" s="1572">
        <f>J23</f>
        <v>100</v>
      </c>
      <c r="X23" s="1565"/>
      <c r="Y23" s="364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649"/>
      <c r="Q24" s="1570"/>
      <c r="R24" s="1571"/>
      <c r="S24" s="1572"/>
      <c r="T24" s="1571"/>
      <c r="U24" s="1572"/>
      <c r="V24" s="1571"/>
      <c r="W24" s="1572"/>
      <c r="X24" s="1565"/>
      <c r="Y24" s="3649"/>
      <c r="Z24" s="1573"/>
      <c r="AA24" s="1574">
        <v>1</v>
      </c>
      <c r="AB24" s="1574">
        <v>1</v>
      </c>
      <c r="AC24" s="1574">
        <v>1</v>
      </c>
    </row>
    <row r="25" spans="1:29" s="1217" customFormat="1" ht="42.75">
      <c r="A25" s="575"/>
      <c r="B25" s="2614"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649"/>
      <c r="Q25" s="1148" t="str">
        <f t="shared" si="8"/>
        <v>公共配套设施</v>
      </c>
      <c r="R25" s="1566" t="s">
        <v>8</v>
      </c>
      <c r="S25" s="1567">
        <f>F25</f>
        <v>100</v>
      </c>
      <c r="T25" s="1566" t="s">
        <v>8</v>
      </c>
      <c r="U25" s="1567">
        <f>H25</f>
        <v>100</v>
      </c>
      <c r="V25" s="1566" t="s">
        <v>8</v>
      </c>
      <c r="W25" s="1567">
        <f>J25</f>
        <v>100</v>
      </c>
      <c r="X25" s="1568"/>
      <c r="Y25" s="3649"/>
      <c r="Z25" s="1147" t="str">
        <f>Q25</f>
        <v>公共配套设施</v>
      </c>
      <c r="AA25" s="1574">
        <f>D25/F25</f>
        <v>1</v>
      </c>
      <c r="AB25" s="1574">
        <f>D25/H25</f>
        <v>1</v>
      </c>
      <c r="AC25" s="1574">
        <f>D25/J25</f>
        <v>1</v>
      </c>
    </row>
    <row r="26" spans="1:29" s="1217" customFormat="1" ht="15">
      <c r="A26" s="575"/>
      <c r="B26" s="593"/>
      <c r="C26" s="2613"/>
      <c r="D26" s="553"/>
      <c r="E26" s="552"/>
      <c r="F26" s="553"/>
      <c r="G26" s="552"/>
      <c r="H26" s="553"/>
      <c r="I26" s="574"/>
      <c r="J26" s="553"/>
      <c r="K26" s="529"/>
      <c r="L26" s="2134"/>
      <c r="M26" s="2135"/>
      <c r="N26" s="2135"/>
      <c r="O26" s="2136"/>
      <c r="P26" s="3649"/>
      <c r="Q26" s="1148"/>
      <c r="R26" s="1566"/>
      <c r="S26" s="1567"/>
      <c r="T26" s="1566"/>
      <c r="U26" s="1567"/>
      <c r="V26" s="1566"/>
      <c r="W26" s="1567"/>
      <c r="X26" s="1568"/>
      <c r="Y26" s="3649"/>
      <c r="Z26" s="1147"/>
      <c r="AA26" s="1569">
        <v>1</v>
      </c>
      <c r="AB26" s="1569">
        <v>1</v>
      </c>
      <c r="AC26" s="1569">
        <v>1</v>
      </c>
    </row>
    <row r="27" spans="1:29" s="1217" customFormat="1" ht="28.5">
      <c r="A27" s="575"/>
      <c r="B27" s="2614"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649"/>
      <c r="Q27" s="2599" t="str">
        <f t="shared" ref="Q27" si="9">B27</f>
        <v>基础设施水平</v>
      </c>
      <c r="R27" s="1566" t="s">
        <v>8</v>
      </c>
      <c r="S27" s="1567">
        <f>F27</f>
        <v>100</v>
      </c>
      <c r="T27" s="1566" t="s">
        <v>8</v>
      </c>
      <c r="U27" s="1567">
        <f>H27</f>
        <v>100</v>
      </c>
      <c r="V27" s="1566" t="s">
        <v>8</v>
      </c>
      <c r="W27" s="1567">
        <f>J27</f>
        <v>100</v>
      </c>
      <c r="X27" s="1568"/>
      <c r="Y27" s="3649"/>
      <c r="Z27" s="2596" t="str">
        <f>Q27</f>
        <v>基础设施水平</v>
      </c>
      <c r="AA27" s="1574">
        <f>D27/F27</f>
        <v>1</v>
      </c>
      <c r="AB27" s="1574">
        <f>D27/H27</f>
        <v>1</v>
      </c>
      <c r="AC27" s="1574">
        <f>D27/J27</f>
        <v>1</v>
      </c>
    </row>
    <row r="28" spans="1:29" s="1217" customFormat="1" ht="15">
      <c r="A28" s="575"/>
      <c r="B28" s="593"/>
      <c r="C28" s="2613"/>
      <c r="D28" s="553"/>
      <c r="E28" s="577"/>
      <c r="F28" s="553"/>
      <c r="G28" s="577"/>
      <c r="H28" s="553"/>
      <c r="I28" s="577"/>
      <c r="J28" s="553"/>
      <c r="K28" s="529"/>
      <c r="L28" s="2134"/>
      <c r="M28" s="2135"/>
      <c r="N28" s="2135"/>
      <c r="O28" s="2136"/>
      <c r="P28" s="3649"/>
      <c r="Q28" s="2599"/>
      <c r="R28" s="1566"/>
      <c r="S28" s="1567"/>
      <c r="T28" s="1566"/>
      <c r="U28" s="1567"/>
      <c r="V28" s="1566"/>
      <c r="W28" s="1567"/>
      <c r="X28" s="1568"/>
      <c r="Y28" s="3649"/>
      <c r="Z28" s="2596"/>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64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649"/>
      <c r="Z29" s="1573" t="str">
        <f t="shared" ref="Z29:Z42" si="13">Q29</f>
        <v>临街状况</v>
      </c>
      <c r="AA29" s="1574">
        <f t="shared" si="3"/>
        <v>1</v>
      </c>
      <c r="AB29" s="1574">
        <f t="shared" si="4"/>
        <v>1</v>
      </c>
      <c r="AC29" s="1574">
        <f t="shared" si="5"/>
        <v>1</v>
      </c>
    </row>
    <row r="30" spans="1:29" ht="27">
      <c r="A30" s="530"/>
      <c r="B30" s="920" t="s">
        <v>548</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649"/>
      <c r="Q30" s="1570" t="str">
        <f t="shared" si="8"/>
        <v>毗邻道路的类型与等级</v>
      </c>
      <c r="R30" s="1571" t="s">
        <v>8</v>
      </c>
      <c r="S30" s="1572">
        <f t="shared" si="10"/>
        <v>100</v>
      </c>
      <c r="T30" s="1571" t="s">
        <v>8</v>
      </c>
      <c r="U30" s="1572">
        <f t="shared" si="11"/>
        <v>100</v>
      </c>
      <c r="V30" s="1571" t="s">
        <v>8</v>
      </c>
      <c r="W30" s="1572">
        <f t="shared" si="12"/>
        <v>100</v>
      </c>
      <c r="X30" s="1565"/>
      <c r="Y30" s="3649"/>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649"/>
      <c r="Q31" s="1570"/>
      <c r="R31" s="1571"/>
      <c r="S31" s="1572"/>
      <c r="T31" s="1571"/>
      <c r="U31" s="1572"/>
      <c r="V31" s="1571"/>
      <c r="W31" s="1572"/>
      <c r="X31" s="1565"/>
      <c r="Y31" s="3649"/>
      <c r="Z31" s="1573"/>
      <c r="AA31" s="1574">
        <v>1</v>
      </c>
      <c r="AB31" s="1574">
        <v>1</v>
      </c>
      <c r="AC31" s="1574">
        <v>1</v>
      </c>
    </row>
    <row r="32" spans="1:29" ht="15">
      <c r="A32" s="530"/>
      <c r="B32" s="525" t="s">
        <v>549</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649"/>
      <c r="Q32" s="1570" t="str">
        <f t="shared" si="8"/>
        <v>土地级别</v>
      </c>
      <c r="R32" s="1571" t="s">
        <v>8</v>
      </c>
      <c r="S32" s="1572">
        <f t="shared" si="10"/>
        <v>100</v>
      </c>
      <c r="T32" s="1571" t="s">
        <v>8</v>
      </c>
      <c r="U32" s="1572">
        <f t="shared" si="11"/>
        <v>100</v>
      </c>
      <c r="V32" s="1571" t="s">
        <v>8</v>
      </c>
      <c r="W32" s="1572">
        <f t="shared" si="12"/>
        <v>100</v>
      </c>
      <c r="X32" s="1565"/>
      <c r="Y32" s="364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649"/>
      <c r="Q33" s="1570">
        <f t="shared" si="8"/>
        <v>111</v>
      </c>
      <c r="R33" s="1571" t="s">
        <v>8</v>
      </c>
      <c r="S33" s="1572">
        <f t="shared" si="10"/>
        <v>100</v>
      </c>
      <c r="T33" s="1571" t="s">
        <v>8</v>
      </c>
      <c r="U33" s="1572">
        <f t="shared" si="11"/>
        <v>100</v>
      </c>
      <c r="V33" s="1571" t="s">
        <v>8</v>
      </c>
      <c r="W33" s="1572">
        <f t="shared" si="12"/>
        <v>100</v>
      </c>
      <c r="X33" s="1565"/>
      <c r="Y33" s="364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650" t="s">
        <v>550</v>
      </c>
      <c r="Q34" s="1570">
        <f t="shared" si="8"/>
        <v>111</v>
      </c>
      <c r="R34" s="1571" t="s">
        <v>8</v>
      </c>
      <c r="S34" s="1572">
        <f t="shared" si="10"/>
        <v>100</v>
      </c>
      <c r="T34" s="1571" t="s">
        <v>8</v>
      </c>
      <c r="U34" s="1572">
        <f t="shared" si="11"/>
        <v>100</v>
      </c>
      <c r="V34" s="1571" t="s">
        <v>8</v>
      </c>
      <c r="W34" s="1572">
        <f t="shared" si="12"/>
        <v>100</v>
      </c>
      <c r="X34" s="1565"/>
      <c r="Y34" s="3651" t="s">
        <v>550</v>
      </c>
      <c r="Z34" s="1573">
        <f t="shared" si="13"/>
        <v>111</v>
      </c>
      <c r="AA34" s="1574">
        <f t="shared" si="3"/>
        <v>1</v>
      </c>
      <c r="AB34" s="1574">
        <f t="shared" si="4"/>
        <v>1</v>
      </c>
      <c r="AC34" s="1574">
        <f t="shared" si="5"/>
        <v>1</v>
      </c>
    </row>
    <row r="35" spans="1:29" s="1336"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651"/>
      <c r="Q35" s="1570">
        <f t="shared" si="8"/>
        <v>111</v>
      </c>
      <c r="R35" s="1575" t="s">
        <v>8</v>
      </c>
      <c r="S35" s="1576">
        <f t="shared" si="10"/>
        <v>100</v>
      </c>
      <c r="T35" s="1575" t="s">
        <v>8</v>
      </c>
      <c r="U35" s="1576">
        <f t="shared" si="11"/>
        <v>100</v>
      </c>
      <c r="V35" s="1575" t="s">
        <v>8</v>
      </c>
      <c r="W35" s="1576">
        <f t="shared" si="12"/>
        <v>100</v>
      </c>
      <c r="X35" s="1577"/>
      <c r="Y35" s="3651"/>
      <c r="Z35" s="1578">
        <f t="shared" si="13"/>
        <v>111</v>
      </c>
      <c r="AA35" s="1574">
        <f t="shared" si="3"/>
        <v>1</v>
      </c>
      <c r="AB35" s="1574">
        <f t="shared" si="4"/>
        <v>1</v>
      </c>
      <c r="AC35" s="1574">
        <f t="shared" si="5"/>
        <v>1</v>
      </c>
    </row>
    <row r="36" spans="1:29" ht="15">
      <c r="A36" s="2926"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651"/>
      <c r="Q36" s="1570" t="str">
        <f>B36</f>
        <v>宗地面积</v>
      </c>
      <c r="R36" s="1571" t="s">
        <v>8</v>
      </c>
      <c r="S36" s="1572" t="e">
        <f t="shared" si="10"/>
        <v>#N/A</v>
      </c>
      <c r="T36" s="1571" t="s">
        <v>8</v>
      </c>
      <c r="U36" s="1572" t="e">
        <f t="shared" si="11"/>
        <v>#N/A</v>
      </c>
      <c r="V36" s="1571" t="s">
        <v>8</v>
      </c>
      <c r="W36" s="1572" t="e">
        <f t="shared" si="12"/>
        <v>#N/A</v>
      </c>
      <c r="X36" s="1565"/>
      <c r="Y36" s="3651"/>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651"/>
      <c r="Q37" s="1570" t="str">
        <f t="shared" ref="Q37:Q42" si="14">B37</f>
        <v>宗地形状</v>
      </c>
      <c r="R37" s="1571" t="s">
        <v>8</v>
      </c>
      <c r="S37" s="1572">
        <f t="shared" si="10"/>
        <v>100</v>
      </c>
      <c r="T37" s="1571" t="s">
        <v>8</v>
      </c>
      <c r="U37" s="1572">
        <f t="shared" si="11"/>
        <v>100</v>
      </c>
      <c r="V37" s="1571" t="s">
        <v>8</v>
      </c>
      <c r="W37" s="1572">
        <f t="shared" si="12"/>
        <v>100</v>
      </c>
      <c r="X37" s="1565"/>
      <c r="Y37" s="3651"/>
      <c r="Z37" s="1573" t="str">
        <f t="shared" si="13"/>
        <v>宗地形状</v>
      </c>
      <c r="AA37" s="1574">
        <f t="shared" si="3"/>
        <v>1</v>
      </c>
      <c r="AB37" s="1574">
        <f t="shared" si="4"/>
        <v>1</v>
      </c>
      <c r="AC37" s="1574">
        <f t="shared" si="5"/>
        <v>1</v>
      </c>
    </row>
    <row r="38" spans="1:29" s="1217" customFormat="1" ht="15">
      <c r="A38" s="598"/>
      <c r="B38" s="1894"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651"/>
      <c r="Q38" s="1570" t="str">
        <f t="shared" si="14"/>
        <v>宗地开发程度</v>
      </c>
      <c r="R38" s="1566" t="s">
        <v>8</v>
      </c>
      <c r="S38" s="1567">
        <f t="shared" si="10"/>
        <v>100</v>
      </c>
      <c r="T38" s="1566" t="s">
        <v>8</v>
      </c>
      <c r="U38" s="1567">
        <f t="shared" si="11"/>
        <v>100</v>
      </c>
      <c r="V38" s="1566" t="s">
        <v>8</v>
      </c>
      <c r="W38" s="1567">
        <f t="shared" si="12"/>
        <v>100</v>
      </c>
      <c r="X38" s="1568"/>
      <c r="Y38" s="3651"/>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651" t="s">
        <v>601</v>
      </c>
      <c r="Q39" s="1570" t="str">
        <f t="shared" si="14"/>
        <v>工程地质条件</v>
      </c>
      <c r="R39" s="1571" t="s">
        <v>8</v>
      </c>
      <c r="S39" s="1572">
        <f t="shared" si="10"/>
        <v>100</v>
      </c>
      <c r="T39" s="1571" t="s">
        <v>8</v>
      </c>
      <c r="U39" s="1572">
        <f t="shared" si="11"/>
        <v>100</v>
      </c>
      <c r="V39" s="1571" t="s">
        <v>8</v>
      </c>
      <c r="W39" s="1572">
        <f t="shared" si="12"/>
        <v>100</v>
      </c>
      <c r="X39" s="1565"/>
      <c r="Y39" s="3651"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651"/>
      <c r="Q40" s="1570">
        <f t="shared" si="14"/>
        <v>111</v>
      </c>
      <c r="R40" s="1571" t="s">
        <v>8</v>
      </c>
      <c r="S40" s="1572">
        <f t="shared" si="10"/>
        <v>100</v>
      </c>
      <c r="T40" s="1571" t="s">
        <v>8</v>
      </c>
      <c r="U40" s="1572">
        <f t="shared" si="11"/>
        <v>100</v>
      </c>
      <c r="V40" s="1571" t="s">
        <v>8</v>
      </c>
      <c r="W40" s="1572">
        <f t="shared" si="12"/>
        <v>100</v>
      </c>
      <c r="X40" s="1565"/>
      <c r="Y40" s="365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651"/>
      <c r="Q41" s="1570">
        <f t="shared" si="14"/>
        <v>111</v>
      </c>
      <c r="R41" s="1571" t="s">
        <v>8</v>
      </c>
      <c r="S41" s="1572">
        <f t="shared" si="10"/>
        <v>100</v>
      </c>
      <c r="T41" s="1571" t="s">
        <v>8</v>
      </c>
      <c r="U41" s="1572">
        <f t="shared" si="11"/>
        <v>100</v>
      </c>
      <c r="V41" s="1571" t="s">
        <v>8</v>
      </c>
      <c r="W41" s="1572">
        <f t="shared" si="12"/>
        <v>100</v>
      </c>
      <c r="X41" s="1565"/>
      <c r="Y41" s="3651"/>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651"/>
      <c r="Q42" s="1570">
        <f t="shared" si="14"/>
        <v>111</v>
      </c>
      <c r="R42" s="1575" t="s">
        <v>8</v>
      </c>
      <c r="S42" s="1576">
        <f t="shared" si="10"/>
        <v>100</v>
      </c>
      <c r="T42" s="1575" t="s">
        <v>8</v>
      </c>
      <c r="U42" s="1576">
        <f t="shared" si="11"/>
        <v>100</v>
      </c>
      <c r="V42" s="1575" t="s">
        <v>8</v>
      </c>
      <c r="W42" s="1576">
        <f t="shared" si="12"/>
        <v>100</v>
      </c>
      <c r="X42" s="1577"/>
      <c r="Y42" s="3651"/>
      <c r="Z42" s="1578">
        <f t="shared" si="13"/>
        <v>111</v>
      </c>
      <c r="AA42" s="1574">
        <f t="shared" si="3"/>
        <v>1</v>
      </c>
      <c r="AB42" s="1574">
        <f t="shared" si="4"/>
        <v>1</v>
      </c>
      <c r="AC42" s="1574">
        <f t="shared" si="5"/>
        <v>1</v>
      </c>
    </row>
    <row r="43" spans="1:29" ht="15">
      <c r="A43" s="605" t="s">
        <v>556</v>
      </c>
      <c r="B43" s="606" t="s">
        <v>2935</v>
      </c>
      <c r="C43" s="607" t="s">
        <v>1</v>
      </c>
      <c r="D43" s="608"/>
      <c r="E43" s="609"/>
      <c r="F43" s="610"/>
      <c r="G43" s="611"/>
      <c r="H43" s="612"/>
      <c r="I43" s="609"/>
      <c r="J43" s="612"/>
      <c r="K43" s="1337"/>
      <c r="L43" s="2143"/>
      <c r="M43" s="2133"/>
      <c r="N43" s="2133"/>
      <c r="O43" s="2144"/>
      <c r="P43" s="3614" t="str">
        <f>A43</f>
        <v>成交单价</v>
      </c>
      <c r="Q43" s="3614"/>
      <c r="R43" s="3615">
        <f>E43</f>
        <v>0</v>
      </c>
      <c r="S43" s="3615"/>
      <c r="T43" s="3615">
        <f>G43</f>
        <v>0</v>
      </c>
      <c r="U43" s="3615"/>
      <c r="V43" s="3615">
        <f>I43</f>
        <v>0</v>
      </c>
      <c r="W43" s="3615"/>
      <c r="X43" s="1557"/>
      <c r="Y43" s="1579"/>
      <c r="Z43" s="1557"/>
      <c r="AA43" s="1557"/>
      <c r="AB43" s="1557"/>
      <c r="AC43" s="1557"/>
    </row>
    <row r="44" spans="1:29" ht="15.75" thickBot="1">
      <c r="A44" s="613" t="s">
        <v>2697</v>
      </c>
      <c r="B44" s="614"/>
      <c r="C44" s="615" t="e">
        <f>R45</f>
        <v>#DIV/0!</v>
      </c>
      <c r="D44" s="616"/>
      <c r="E44" s="615" t="e">
        <f>R44</f>
        <v>#DIV/0!</v>
      </c>
      <c r="F44" s="617"/>
      <c r="G44" s="618" t="e">
        <f>T44</f>
        <v>#DIV/0!</v>
      </c>
      <c r="H44" s="616"/>
      <c r="I44" s="615" t="e">
        <f>V44</f>
        <v>#DIV/0!</v>
      </c>
      <c r="J44" s="616"/>
      <c r="K44" s="1338"/>
      <c r="L44" s="2143"/>
      <c r="M44" s="2133"/>
      <c r="N44" s="2133"/>
      <c r="O44" s="2144"/>
      <c r="P44" s="3614" t="str">
        <f>A44</f>
        <v>比较价格（元/平方米）</v>
      </c>
      <c r="Q44" s="3614"/>
      <c r="R44" s="3616" t="e">
        <f>ROUND(PRODUCT(R43,AA9:AA42),0)</f>
        <v>#DIV/0!</v>
      </c>
      <c r="S44" s="3616"/>
      <c r="T44" s="3616" t="e">
        <f>ROUND(PRODUCT(T43,AB9:AB42),0)</f>
        <v>#DIV/0!</v>
      </c>
      <c r="U44" s="3616"/>
      <c r="V44" s="3616" t="e">
        <f>ROUND(PRODUCT(V43,AC9:AC42),0)</f>
        <v>#DIV/0!</v>
      </c>
      <c r="W44" s="3616"/>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39"/>
      <c r="L45" s="2143"/>
      <c r="M45" s="2133"/>
      <c r="N45" s="2133"/>
      <c r="O45" s="2144"/>
      <c r="P45" s="3611" t="str">
        <f>A45</f>
        <v>估价对象XX用房的比较价格（楼面单价，元/平方米）</v>
      </c>
      <c r="Q45" s="3612"/>
      <c r="R45" s="3613" t="e">
        <f>ROUND(AVERAGE(R44:V44),0)</f>
        <v>#DIV/0!</v>
      </c>
      <c r="S45" s="3613"/>
      <c r="T45" s="3613"/>
      <c r="U45" s="3613"/>
      <c r="V45" s="3613"/>
      <c r="W45" s="361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560</v>
      </c>
      <c r="B52" s="628" t="s">
        <v>561</v>
      </c>
      <c r="C52" s="1558" t="s">
        <v>1725</v>
      </c>
      <c r="D52" s="2226" t="s">
        <v>2296</v>
      </c>
      <c r="E52" s="629" t="s">
        <v>562</v>
      </c>
      <c r="F52" s="1950" t="s">
        <v>563</v>
      </c>
      <c r="G52" s="3658" t="s">
        <v>2287</v>
      </c>
      <c r="H52" s="3659"/>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1" t="s">
        <v>564</v>
      </c>
      <c r="B53" s="632" t="e">
        <f>C45</f>
        <v>#DIV/0!</v>
      </c>
      <c r="C53" s="633">
        <v>1</v>
      </c>
      <c r="D53" s="2227">
        <v>1</v>
      </c>
      <c r="E53" s="633">
        <f>'数据-汇总表'!E8+'数据-汇总表'!E9</f>
        <v>10000</v>
      </c>
      <c r="F53" s="1949" t="e">
        <f t="shared" ref="F53:F62" si="15">ROUND(B53*E53/10000,0)</f>
        <v>#DIV/0!</v>
      </c>
      <c r="G53" s="3660"/>
      <c r="H53" s="366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5" t="s">
        <v>565</v>
      </c>
      <c r="B54" s="636" t="e">
        <f>ROUND($C$45*C54*D54,0)</f>
        <v>#DIV/0!</v>
      </c>
      <c r="C54" s="376">
        <f t="shared" ref="C54:C62" si="16">IF($C$52="北京市系数",I54,J54)</f>
        <v>0</v>
      </c>
      <c r="D54" s="2228">
        <v>0.25</v>
      </c>
      <c r="E54" s="637"/>
      <c r="F54" s="1949" t="e">
        <f t="shared" si="15"/>
        <v>#DIV/0!</v>
      </c>
      <c r="G54" s="3662" t="s">
        <v>2288</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5" t="s">
        <v>566</v>
      </c>
      <c r="B55" s="636" t="e">
        <f t="shared" ref="B55:B62" si="17">ROUND($C$45*C55*D55,0)</f>
        <v>#DIV/0!</v>
      </c>
      <c r="C55" s="376">
        <f t="shared" si="16"/>
        <v>0</v>
      </c>
      <c r="D55" s="2228">
        <v>0.25</v>
      </c>
      <c r="E55" s="637"/>
      <c r="F55" s="1949" t="e">
        <f t="shared" si="15"/>
        <v>#DIV/0!</v>
      </c>
      <c r="G55" s="3662"/>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5" t="s">
        <v>567</v>
      </c>
      <c r="B56" s="636" t="e">
        <f t="shared" si="17"/>
        <v>#DIV/0!</v>
      </c>
      <c r="C56" s="376">
        <f t="shared" si="16"/>
        <v>0</v>
      </c>
      <c r="D56" s="2228">
        <v>0.25</v>
      </c>
      <c r="E56" s="637"/>
      <c r="F56" s="1949" t="e">
        <f t="shared" si="15"/>
        <v>#DIV/0!</v>
      </c>
      <c r="G56" s="3662"/>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5" t="s">
        <v>568</v>
      </c>
      <c r="B57" s="636" t="e">
        <f t="shared" si="17"/>
        <v>#DIV/0!</v>
      </c>
      <c r="C57" s="376">
        <f t="shared" si="16"/>
        <v>0</v>
      </c>
      <c r="D57" s="2228">
        <v>0.25</v>
      </c>
      <c r="E57" s="637"/>
      <c r="F57" s="1949" t="e">
        <f t="shared" si="15"/>
        <v>#DIV/0!</v>
      </c>
      <c r="G57" s="3662"/>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6" t="e">
        <f t="shared" si="17"/>
        <v>#DIV/0!</v>
      </c>
      <c r="C58" s="376">
        <f t="shared" si="16"/>
        <v>0.3</v>
      </c>
      <c r="D58" s="2228">
        <v>0.25</v>
      </c>
      <c r="E58" s="639">
        <f>'数据-汇总表'!E11</f>
        <v>0</v>
      </c>
      <c r="F58" s="1949" t="e">
        <f t="shared" si="15"/>
        <v>#DIV/0!</v>
      </c>
      <c r="G58" s="1955" t="s">
        <v>2289</v>
      </c>
      <c r="H58" s="1954" t="str">
        <f>项目基本情况!C43</f>
        <v>二级</v>
      </c>
      <c r="I58" s="1952">
        <f>SUMIF(修正!$A$45:$A$56,H58,修正!F45:F56)</f>
        <v>0.3</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569</v>
      </c>
      <c r="B59" s="636" t="e">
        <f t="shared" si="17"/>
        <v>#DIV/0!</v>
      </c>
      <c r="C59" s="376">
        <f t="shared" si="16"/>
        <v>0.3</v>
      </c>
      <c r="D59" s="2228">
        <v>0.25</v>
      </c>
      <c r="E59" s="639">
        <f>'数据-汇总表'!E12</f>
        <v>0</v>
      </c>
      <c r="F59" s="1949" t="e">
        <f t="shared" si="15"/>
        <v>#DIV/0!</v>
      </c>
      <c r="G59" s="1945" t="s">
        <v>1678</v>
      </c>
      <c r="H59" s="1953" t="str">
        <f>IF(G59="商业",项目基本情况!B43,IF(G59="办公",项目基本情况!C43,IF(G59="住宅",项目基本情况!D43,项目基本情况!E43)))</f>
        <v>二级</v>
      </c>
      <c r="I59" s="1952">
        <f>SUMIF(修正!$A$45:$A$56,H59,修正!G45:G56)</f>
        <v>0.3</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570</v>
      </c>
      <c r="B60" s="636" t="e">
        <f t="shared" si="17"/>
        <v>#DIV/0!</v>
      </c>
      <c r="C60" s="376">
        <f t="shared" si="16"/>
        <v>0</v>
      </c>
      <c r="D60" s="2228">
        <v>0.25</v>
      </c>
      <c r="E60" s="639">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571</v>
      </c>
      <c r="B61" s="636" t="e">
        <f t="shared" si="17"/>
        <v>#DIV/0!</v>
      </c>
      <c r="C61" s="376">
        <f t="shared" si="16"/>
        <v>0</v>
      </c>
      <c r="D61" s="2228">
        <v>0.25</v>
      </c>
      <c r="E61" s="639">
        <f>'数据-汇总表'!E14</f>
        <v>0</v>
      </c>
      <c r="F61" s="1949" t="e">
        <f t="shared" si="15"/>
        <v>#DIV/0!</v>
      </c>
      <c r="G61" s="1955" t="s">
        <v>2288</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5" t="s">
        <v>572</v>
      </c>
      <c r="B62" s="636" t="e">
        <f t="shared" si="17"/>
        <v>#DIV/0!</v>
      </c>
      <c r="C62" s="376">
        <f t="shared" si="16"/>
        <v>0.25</v>
      </c>
      <c r="D62" s="2228">
        <v>0.25</v>
      </c>
      <c r="E62" s="639">
        <f>'数据-汇总表'!E15</f>
        <v>0</v>
      </c>
      <c r="F62" s="1949" t="e">
        <f t="shared" si="15"/>
        <v>#DIV/0!</v>
      </c>
      <c r="G62" s="1956" t="s">
        <v>2289</v>
      </c>
      <c r="H62" s="1957" t="str">
        <f>项目基本情况!C43</f>
        <v>二级</v>
      </c>
      <c r="I62" s="1952">
        <f>SUMIF(修正!$A$45:$A$56,H62,修正!H45:H56)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19" t="str">
        <f>YEAR(C9)&amp;"-"&amp;MONTH(C9)&amp;"-1"</f>
        <v>2018-10-1</v>
      </c>
      <c r="D65" s="2818">
        <f>EDATE(C65,-3)</f>
        <v>43282</v>
      </c>
      <c r="E65" s="2818">
        <f t="shared" ref="E65:N65" si="18">EDATE(D65,-3)</f>
        <v>43191</v>
      </c>
      <c r="F65" s="2818">
        <f t="shared" si="18"/>
        <v>43101</v>
      </c>
      <c r="G65" s="2818">
        <f t="shared" si="18"/>
        <v>43009</v>
      </c>
      <c r="H65" s="2818">
        <f t="shared" si="18"/>
        <v>42917</v>
      </c>
      <c r="I65" s="2818">
        <f t="shared" si="18"/>
        <v>42826</v>
      </c>
      <c r="J65" s="2818">
        <f t="shared" si="18"/>
        <v>42736</v>
      </c>
      <c r="K65" s="2818">
        <f t="shared" si="18"/>
        <v>42644</v>
      </c>
      <c r="L65" s="2818">
        <f t="shared" si="18"/>
        <v>42552</v>
      </c>
      <c r="M65" s="2818">
        <f t="shared" si="18"/>
        <v>42461</v>
      </c>
      <c r="N65" s="2818">
        <f t="shared" si="18"/>
        <v>42370</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89" t="s">
        <v>2537</v>
      </c>
      <c r="B67" s="644"/>
      <c r="C67" s="2814" t="str">
        <f>YEAR(C65)&amp;"-"&amp;ROUNDUP(MONTH(C65)/3,0)</f>
        <v>2018-4</v>
      </c>
      <c r="D67" s="2820" t="str">
        <f t="shared" ref="D67:N67" si="19">YEAR(D65)&amp;"-"&amp;ROUNDUP(MONTH(D65)/3,0)</f>
        <v>2018-3</v>
      </c>
      <c r="E67" s="2820" t="str">
        <f t="shared" si="19"/>
        <v>2018-2</v>
      </c>
      <c r="F67" s="2820" t="str">
        <f t="shared" si="19"/>
        <v>2018-1</v>
      </c>
      <c r="G67" s="2820" t="str">
        <f t="shared" si="19"/>
        <v>2017-4</v>
      </c>
      <c r="H67" s="2820" t="str">
        <f t="shared" si="19"/>
        <v>2017-3</v>
      </c>
      <c r="I67" s="2820" t="str">
        <f t="shared" si="19"/>
        <v>2017-2</v>
      </c>
      <c r="J67" s="2820" t="str">
        <f t="shared" si="19"/>
        <v>2017-1</v>
      </c>
      <c r="K67" s="2820" t="str">
        <f t="shared" si="19"/>
        <v>2016-4</v>
      </c>
      <c r="L67" s="2820" t="str">
        <f t="shared" si="19"/>
        <v>2016-3</v>
      </c>
      <c r="M67" s="2820" t="str">
        <f t="shared" si="19"/>
        <v>2016-2</v>
      </c>
      <c r="N67" s="2820" t="str">
        <f t="shared" si="19"/>
        <v>2016-1</v>
      </c>
      <c r="O67" s="2158"/>
      <c r="P67" s="2159"/>
      <c r="Q67" s="2160"/>
      <c r="R67" s="2160"/>
      <c r="S67" s="2160"/>
      <c r="T67" s="2160"/>
      <c r="U67" s="2160"/>
      <c r="V67" s="2160"/>
      <c r="W67" s="2160"/>
      <c r="X67" s="2160"/>
      <c r="Y67" s="2160"/>
      <c r="Z67" s="2160"/>
      <c r="AA67" s="2160"/>
      <c r="AB67" s="2160"/>
      <c r="AC67" s="2160"/>
    </row>
    <row r="68" spans="1:29" s="1217" customFormat="1" ht="27.75" customHeight="1">
      <c r="A68" s="2817" t="s">
        <v>2653</v>
      </c>
      <c r="B68" s="477" t="str">
        <f>"北京市平均增长率"&amp;TEXT(基准地价!P24,"0.00%")</f>
        <v>北京市平均增长率1.42%</v>
      </c>
      <c r="C68" s="892">
        <v>100</v>
      </c>
      <c r="D68" s="728"/>
      <c r="E68" s="728"/>
      <c r="F68" s="728"/>
      <c r="G68" s="728"/>
      <c r="H68" s="728"/>
      <c r="I68" s="728"/>
      <c r="J68" s="728"/>
      <c r="K68" s="728"/>
      <c r="L68" s="728"/>
      <c r="M68" s="2812"/>
      <c r="N68" s="2813"/>
      <c r="O68" s="2161"/>
      <c r="P68" s="2157"/>
      <c r="Q68" s="1992"/>
      <c r="R68" s="1992"/>
      <c r="S68" s="1992"/>
      <c r="T68" s="1992"/>
      <c r="U68" s="1992"/>
      <c r="V68" s="1992"/>
      <c r="W68" s="1992"/>
      <c r="X68" s="1992"/>
      <c r="Y68" s="1992"/>
      <c r="Z68" s="1992"/>
      <c r="AA68" s="1992"/>
      <c r="AB68" s="1992"/>
      <c r="AC68" s="1992"/>
    </row>
    <row r="69" spans="1:29" s="1217" customFormat="1" ht="15.75" thickBot="1">
      <c r="A69" s="651" t="s">
        <v>575</v>
      </c>
      <c r="B69" s="652"/>
      <c r="C69" s="2810"/>
      <c r="D69" s="2811"/>
      <c r="E69" s="2811"/>
      <c r="F69" s="2811"/>
      <c r="G69" s="2811"/>
      <c r="H69" s="2811"/>
      <c r="I69" s="2811"/>
      <c r="J69" s="2811"/>
      <c r="K69" s="2811"/>
      <c r="L69" s="2811"/>
      <c r="M69" s="2811"/>
      <c r="N69" s="2811"/>
      <c r="O69" s="2161"/>
      <c r="P69" s="2157"/>
      <c r="Q69" s="2157"/>
      <c r="R69" s="1992"/>
      <c r="S69" s="1992"/>
      <c r="T69" s="1992"/>
      <c r="U69" s="1992"/>
      <c r="V69" s="1992"/>
      <c r="W69" s="1992"/>
      <c r="X69" s="1992"/>
      <c r="Y69" s="1992"/>
      <c r="Z69" s="1992"/>
      <c r="AA69" s="1992"/>
      <c r="AB69" s="1992"/>
      <c r="AC69" s="1992"/>
    </row>
    <row r="70" spans="1:29" s="1217" customFormat="1" ht="15">
      <c r="A70" s="657" t="s">
        <v>531</v>
      </c>
      <c r="B70" s="646"/>
      <c r="C70" s="658" t="s">
        <v>576</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577</v>
      </c>
      <c r="B72" s="663" t="s">
        <v>534</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537</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539</v>
      </c>
      <c r="B85" s="663" t="s">
        <v>602</v>
      </c>
      <c r="C85" s="701" t="s">
        <v>579</v>
      </c>
      <c r="D85" s="701" t="s">
        <v>580</v>
      </c>
      <c r="E85" s="701" t="s">
        <v>581</v>
      </c>
      <c r="F85" s="701" t="s">
        <v>582</v>
      </c>
      <c r="G85" s="701" t="s">
        <v>583</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586</v>
      </c>
      <c r="C87" s="706" t="s">
        <v>579</v>
      </c>
      <c r="D87" s="706" t="s">
        <v>580</v>
      </c>
      <c r="E87" s="706" t="s">
        <v>581</v>
      </c>
      <c r="F87" s="706" t="s">
        <v>582</v>
      </c>
      <c r="G87" s="706" t="s">
        <v>583</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5"/>
      <c r="B93" s="1895" t="s">
        <v>2552</v>
      </c>
      <c r="C93" s="701" t="s">
        <v>579</v>
      </c>
      <c r="D93" s="701" t="s">
        <v>580</v>
      </c>
      <c r="E93" s="701" t="s">
        <v>581</v>
      </c>
      <c r="F93" s="701" t="s">
        <v>582</v>
      </c>
      <c r="G93" s="701" t="s">
        <v>583</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5"/>
      <c r="B95" s="2618" t="s">
        <v>2554</v>
      </c>
      <c r="C95" s="2619" t="s">
        <v>2555</v>
      </c>
      <c r="D95" s="2619" t="s">
        <v>2556</v>
      </c>
      <c r="E95" s="2619" t="s">
        <v>2557</v>
      </c>
      <c r="F95" s="2619" t="s">
        <v>2558</v>
      </c>
      <c r="G95" s="2619" t="s">
        <v>2559</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1"/>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589</v>
      </c>
      <c r="D97" s="672" t="s">
        <v>590</v>
      </c>
      <c r="E97" s="672" t="s">
        <v>591</v>
      </c>
      <c r="F97" s="672" t="s">
        <v>592</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548</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549</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594</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6"/>
      <c r="B114" s="1895" t="s">
        <v>2429</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596</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90" zoomScaleNormal="90" workbookViewId="0">
      <selection activeCell="E26" sqref="E2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2430</v>
      </c>
      <c r="D1" s="1519">
        <f>SUM(D29:D30,D33:D39)</f>
        <v>10000</v>
      </c>
      <c r="E1" s="1404" t="s">
        <v>2431</v>
      </c>
      <c r="F1" s="2473">
        <f>'数据-基础表'!A3</f>
        <v>2079.0700000000002</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55" t="s">
        <v>2765</v>
      </c>
      <c r="S1" s="2955" t="s">
        <v>2766</v>
      </c>
      <c r="T1" s="2955" t="s">
        <v>2787</v>
      </c>
      <c r="U1" s="2955" t="s">
        <v>2788</v>
      </c>
      <c r="V1" s="2955" t="s">
        <v>2789</v>
      </c>
      <c r="W1" s="2188"/>
      <c r="X1" s="2188"/>
      <c r="Y1" s="2188"/>
      <c r="Z1" s="2188"/>
      <c r="AA1" s="2188"/>
      <c r="AB1" s="2188"/>
      <c r="AC1" s="2189"/>
    </row>
    <row r="2" spans="1:39" ht="15.75">
      <c r="A2" s="1404" t="s">
        <v>920</v>
      </c>
      <c r="B2" s="1036">
        <f ca="1">C26</f>
        <v>36761</v>
      </c>
      <c r="C2" s="1405" t="s">
        <v>921</v>
      </c>
      <c r="D2" s="1406" t="s">
        <v>922</v>
      </c>
      <c r="E2" s="1407" t="s">
        <v>1678</v>
      </c>
      <c r="F2" s="1406" t="s">
        <v>924</v>
      </c>
      <c r="G2" s="1650" t="str">
        <f>IF(E2="商业",项目基本情况!B43,IF(E2="办公",项目基本情况!C43,IF(E2="住宅",项目基本情况!D43,项目基本情况!E43)))</f>
        <v>二级</v>
      </c>
      <c r="H2" s="1406" t="s">
        <v>926</v>
      </c>
      <c r="I2" s="1651" t="str">
        <f>IF(E2="商业",项目基本情况!B44,IF(E2="办公",项目基本情况!C44,IF(E2="住宅",项目基本情况!D44,项目基本情况!E44)))</f>
        <v>Ⅱ—01</v>
      </c>
      <c r="J2" s="1408"/>
      <c r="K2" s="1399"/>
      <c r="L2" s="1884" t="s">
        <v>2242</v>
      </c>
      <c r="M2" s="1885">
        <f>SUMPRODUCT((区片价!B10:B28=I2)*(区片价!C3:F3=E2)*(区片价!C10:F28))</f>
        <v>26180</v>
      </c>
      <c r="N2" s="1886">
        <f>SUMPRODUCT((因素修正幅度!B10:B28=I2)*(因素修正幅度!C3:F3=E2)*(因素修正幅度!C10:F28))</f>
        <v>7.2999999999999995E-2</v>
      </c>
      <c r="O2" s="2188"/>
      <c r="P2" s="2188"/>
      <c r="Q2" s="2188"/>
      <c r="R2" s="2956">
        <v>1</v>
      </c>
      <c r="S2" s="2956">
        <f>ROUND(IF(G3&gt;1,IF(R2&lt;7,SUMPRODUCT((B93:B98=R2)*(C92:N92=G2)*(C93:N98)),SUMIF(C92:N92,G2,C100:N100)),IF(R2&lt;7,SUMPRODUCT((B102:B107=R2)*(C92:N92=G2)*(C102:N107)),SUMIF(C92:N92,G2,C109:N109))),4)</f>
        <v>1.9361999999999999</v>
      </c>
      <c r="T2" s="2956">
        <f ca="1">ROUND($C$5*$C$18*$C$19*$C$20*S2*$C$24,0)</f>
        <v>71176</v>
      </c>
      <c r="U2" s="2945"/>
      <c r="V2" s="2956">
        <f ca="1">ROUND(T2*U2/10000,0)</f>
        <v>0</v>
      </c>
      <c r="W2" s="2188"/>
      <c r="X2" s="2188"/>
      <c r="Y2" s="2188"/>
      <c r="Z2" s="2188"/>
      <c r="AA2" s="2188"/>
      <c r="AB2" s="2188"/>
      <c r="AC2" s="2189"/>
    </row>
    <row r="3" spans="1:39" ht="24">
      <c r="A3" s="1409" t="s">
        <v>1688</v>
      </c>
      <c r="B3" s="1036">
        <f ca="1">ROUND(B2*10000/D1,0)</f>
        <v>36761</v>
      </c>
      <c r="C3" s="1405" t="s">
        <v>927</v>
      </c>
      <c r="D3" s="1406" t="s">
        <v>928</v>
      </c>
      <c r="E3" s="1410" t="s">
        <v>3007</v>
      </c>
      <c r="F3" s="1411" t="s">
        <v>3008</v>
      </c>
      <c r="G3" s="1037">
        <f>IF(F3="宗地容积率",'数据-汇总表'!I4,IF(F3="估价对象容积率",'数据-汇总表'!I6,'数据-汇总表'!I7))</f>
        <v>3.5</v>
      </c>
      <c r="H3" s="1412" t="s">
        <v>929</v>
      </c>
      <c r="I3" s="1038"/>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56">
        <v>2</v>
      </c>
      <c r="S3" s="2956">
        <f>ROUND(IF(G3&gt;1,IF(R3&lt;7,SUMPRODUCT((B93:B98=R3)*(C92:N92=G2)*(C93:N98)),SUMIF(C92:N92,G2,C100:N100)),IF(R3&lt;7,SUMPRODUCT((B102:B107=R3)*(C92:N92=G2)*(C102:N107)),SUMIF(C92:N92,G2,C109:N109))),4)</f>
        <v>1.4198</v>
      </c>
      <c r="T3" s="2956">
        <f t="shared" ref="T3:T16" ca="1" si="0">ROUND($C$5*$C$18*$C$19*$C$20*S3*$C$24,0)</f>
        <v>52193</v>
      </c>
      <c r="U3" s="2945"/>
      <c r="V3" s="2956">
        <f t="shared" ref="V3:V16" ca="1" si="1">ROUND(T3*U3/10000,0)</f>
        <v>0</v>
      </c>
      <c r="W3" s="2188"/>
      <c r="X3" s="2188"/>
      <c r="Y3" s="2188"/>
      <c r="Z3" s="2188"/>
      <c r="AA3" s="2188"/>
      <c r="AB3" s="2188"/>
      <c r="AC3" s="2189"/>
    </row>
    <row r="4" spans="1:39" ht="28.5">
      <c r="A4" s="1890" t="s">
        <v>2283</v>
      </c>
      <c r="B4" s="2474">
        <f ca="1">ROUND(B2*10000/F1,0)</f>
        <v>176815</v>
      </c>
      <c r="C4" s="1893" t="s">
        <v>2257</v>
      </c>
      <c r="D4" s="1893">
        <f ca="1">ROUND(B2/(F1/666.67),0)</f>
        <v>11788</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56">
        <v>3</v>
      </c>
      <c r="S4" s="2956">
        <f>ROUND(IF(G3&gt;1,IF(R4&lt;7,SUMPRODUCT((B93:B98=R4)*(C92:N92=G2)*(C93:N98)),SUMIF(C92:N92,G2,C100:N100)),IF(R4&lt;7,SUMPRODUCT((B102:B107=R4)*(C92:N92=G2)*(C102:N107)),SUMIF(C92:N92,G2,C109:N109))),4)</f>
        <v>1.1594</v>
      </c>
      <c r="T4" s="2956">
        <f t="shared" ca="1" si="0"/>
        <v>42620</v>
      </c>
      <c r="U4" s="2945"/>
      <c r="V4" s="2956">
        <f t="shared" ca="1" si="1"/>
        <v>0</v>
      </c>
      <c r="W4" s="2188"/>
      <c r="X4" s="2188"/>
      <c r="Y4" s="2188"/>
      <c r="Z4" s="2188"/>
      <c r="AA4" s="2188"/>
      <c r="AB4" s="2188"/>
      <c r="AC4" s="2189"/>
    </row>
    <row r="5" spans="1:39" s="1419" customFormat="1" ht="15.75" thickBot="1">
      <c r="A5" s="1636" t="s">
        <v>1824</v>
      </c>
      <c r="B5" s="1413" t="s">
        <v>931</v>
      </c>
      <c r="C5" s="1039">
        <f>ROUND(IF(E2="商业",IF(F16="增加",C6*C7+C16,C6*C7-C16),IF(E2="住宅",IF(F16="增加",C6*C12+C16,C6*C12-C16),IF(F16="增加",C6+C16,C6-C16))),0)</f>
        <v>26180</v>
      </c>
      <c r="D5" s="3137">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56">
        <v>4</v>
      </c>
      <c r="S5" s="2956">
        <f>ROUND(IF(G3&gt;1,IF(R5&lt;7,SUMPRODUCT((B93:B98=R5)*(C92:N92=G2)*(C93:N98)),SUMIF(C92:N92,G2,C100:N100)),IF(R5&lt;7,SUMPRODUCT((B102:B107=R5)*(C92:N92=G2)*(C102:N107)),SUMIF(C92:N92,G2,C109:N109))),4)</f>
        <v>0.96220000000000006</v>
      </c>
      <c r="T5" s="2956">
        <f t="shared" ca="1" si="0"/>
        <v>35371</v>
      </c>
      <c r="U5" s="2945"/>
      <c r="V5" s="2956">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26180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56">
        <v>5</v>
      </c>
      <c r="S6" s="2956">
        <f>ROUND(IF(G3&gt;1,IF(R6&lt;7,SUMPRODUCT((B93:B98=R6)*(C92:N92=G2)*(C93:N98)),SUMIF(C92:N92,G2,C100:N100)),IF(R6&lt;7,SUMPRODUCT((B102:B107=R6)*(C92:N92=G2)*(C102:N107)),SUMIF(C92:N92,G2,C109:N109))),4)</f>
        <v>0.8417</v>
      </c>
      <c r="T6" s="2956">
        <f t="shared" ca="1" si="0"/>
        <v>30941</v>
      </c>
      <c r="U6" s="2945"/>
      <c r="V6" s="2956">
        <f t="shared" ca="1" si="1"/>
        <v>0</v>
      </c>
      <c r="W6" s="2188"/>
      <c r="X6" s="2188"/>
      <c r="Y6" s="2188"/>
      <c r="Z6" s="2188"/>
      <c r="AA6" s="2188"/>
      <c r="AB6" s="2188"/>
      <c r="AC6" s="2190"/>
      <c r="AD6" s="1417"/>
      <c r="AE6" s="1417"/>
      <c r="AF6" s="1417"/>
      <c r="AG6" s="1417"/>
      <c r="AH6" s="1417"/>
      <c r="AI6" s="1417"/>
      <c r="AJ6" s="1418"/>
    </row>
    <row r="7" spans="1:39" ht="24">
      <c r="A7" s="3672" t="str">
        <f>IF(E2="商业",IF(C8="不临58条商业街","",2),"")</f>
        <v/>
      </c>
      <c r="B7" s="1425" t="s">
        <v>932</v>
      </c>
      <c r="C7" s="1041">
        <f>IF(C8="不临58条商业街",1,ROUND(1+(1.6*E8+1.2*E9+0.8*E10+0.4*E11)*C9,4))</f>
        <v>1</v>
      </c>
      <c r="D7" s="1426" t="s">
        <v>933</v>
      </c>
      <c r="E7" s="1042">
        <v>60</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56">
        <v>6</v>
      </c>
      <c r="S7" s="2956">
        <f>ROUND(IF(G3&gt;1,IF(R7&lt;7,SUMPRODUCT((B93:B98=R7)*(C92:N92=G2)*(C93:N98)),SUMIF(C92:N92,G2,C100:N100)),IF(R7&lt;7,SUMPRODUCT((B102:B107=R7)*(C92:N92=G2)*(C102:N107)),SUMIF(C92:N92,G2,C109:N109))),4)</f>
        <v>0.76080000000000003</v>
      </c>
      <c r="T7" s="2956">
        <f t="shared" ca="1" si="0"/>
        <v>27967</v>
      </c>
      <c r="U7" s="2945"/>
      <c r="V7" s="2956">
        <f t="shared" ca="1" si="1"/>
        <v>0</v>
      </c>
      <c r="W7" s="2954" t="s">
        <v>2768</v>
      </c>
      <c r="X7" s="2946" t="str">
        <f>G2</f>
        <v>二级</v>
      </c>
      <c r="Y7" s="2946" t="s">
        <v>2769</v>
      </c>
      <c r="Z7" s="2947">
        <f>G3</f>
        <v>3.5</v>
      </c>
      <c r="AA7" s="2191"/>
      <c r="AB7" s="2191"/>
      <c r="AC7" s="2192"/>
      <c r="AD7" s="2948"/>
      <c r="AE7" s="2948"/>
      <c r="AF7" s="2948"/>
      <c r="AG7" s="2948"/>
      <c r="AH7" s="2948"/>
      <c r="AI7" s="2948"/>
      <c r="AJ7" s="2949"/>
    </row>
    <row r="8" spans="1:39" ht="15">
      <c r="A8" s="3673"/>
      <c r="B8" s="1412" t="s">
        <v>934</v>
      </c>
      <c r="C8" s="1527"/>
      <c r="D8" s="1043" t="s">
        <v>935</v>
      </c>
      <c r="E8" s="1044">
        <f>ROUND(C11/E7,4)</f>
        <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56">
        <v>7</v>
      </c>
      <c r="S8" s="2945"/>
      <c r="T8" s="2956">
        <f t="shared" ca="1" si="0"/>
        <v>0</v>
      </c>
      <c r="U8" s="2945"/>
      <c r="V8" s="2956">
        <f t="shared" ca="1" si="1"/>
        <v>0</v>
      </c>
      <c r="W8" s="3664" t="s">
        <v>2786</v>
      </c>
      <c r="X8" s="366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673"/>
      <c r="B9" s="1412" t="s">
        <v>937</v>
      </c>
      <c r="C9" s="1045">
        <f>SUMIF(修正!C59:C119,C8,修正!E59:E119)</f>
        <v>0</v>
      </c>
      <c r="D9" s="1046" t="s">
        <v>938</v>
      </c>
      <c r="E9" s="1046">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56">
        <v>8</v>
      </c>
      <c r="S9" s="2945"/>
      <c r="T9" s="2956">
        <f t="shared" ca="1" si="0"/>
        <v>0</v>
      </c>
      <c r="U9" s="2945"/>
      <c r="V9" s="2956">
        <f t="shared" ca="1" si="1"/>
        <v>0</v>
      </c>
      <c r="W9" s="3663" t="s">
        <v>2782</v>
      </c>
      <c r="X9" s="2950" t="s">
        <v>2783</v>
      </c>
      <c r="Y9" s="3118"/>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673"/>
      <c r="B10" s="1412" t="s">
        <v>940</v>
      </c>
      <c r="C10" s="1046">
        <f>SUMIF(修正!C59:C119,C8,修正!F59:F119)</f>
        <v>0</v>
      </c>
      <c r="D10" s="1046" t="s">
        <v>941</v>
      </c>
      <c r="E10" s="1046">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56">
        <v>9</v>
      </c>
      <c r="S10" s="2945"/>
      <c r="T10" s="2956">
        <f t="shared" ca="1" si="0"/>
        <v>0</v>
      </c>
      <c r="U10" s="2945"/>
      <c r="V10" s="2956">
        <f t="shared" ca="1" si="1"/>
        <v>0</v>
      </c>
      <c r="W10" s="3663"/>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673"/>
      <c r="B11" s="1433" t="s">
        <v>943</v>
      </c>
      <c r="C11" s="1047">
        <f>C10/4</f>
        <v>0</v>
      </c>
      <c r="D11" s="1047" t="s">
        <v>944</v>
      </c>
      <c r="E11" s="1047">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56">
        <v>10</v>
      </c>
      <c r="S11" s="2945"/>
      <c r="T11" s="2956">
        <f t="shared" ca="1" si="0"/>
        <v>0</v>
      </c>
      <c r="U11" s="2945"/>
      <c r="V11" s="2956">
        <f t="shared" ca="1" si="1"/>
        <v>0</v>
      </c>
      <c r="W11" s="3663" t="s">
        <v>2784</v>
      </c>
      <c r="X11" s="1046" t="s">
        <v>2769</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672" t="s">
        <v>1872</v>
      </c>
      <c r="B12" s="1437" t="s">
        <v>946</v>
      </c>
      <c r="C12" s="1041">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56">
        <v>11</v>
      </c>
      <c r="S12" s="2945"/>
      <c r="T12" s="2956">
        <f t="shared" ca="1" si="0"/>
        <v>0</v>
      </c>
      <c r="U12" s="2945"/>
      <c r="V12" s="2956">
        <f t="shared" ca="1" si="1"/>
        <v>0</v>
      </c>
      <c r="W12" s="3663"/>
      <c r="X12" s="2953" t="s">
        <v>2785</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674"/>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56">
        <v>12</v>
      </c>
      <c r="S13" s="2945"/>
      <c r="T13" s="2956">
        <f t="shared" ca="1" si="0"/>
        <v>0</v>
      </c>
      <c r="U13" s="2945"/>
      <c r="V13" s="2956">
        <f t="shared" ca="1" si="1"/>
        <v>0</v>
      </c>
      <c r="W13" s="3663"/>
      <c r="X13" s="2953"/>
      <c r="Y13" s="2952">
        <f>(-0.163*(Y12^2)-0.59*Y12+7617)*(10^(-4))/Y11</f>
        <v>0.21762857142857145</v>
      </c>
      <c r="Z13" s="2952">
        <f t="shared" ref="Z13:AJ13" si="5">(-0.163*(Z12^2)-0.59*Z12+7617)*(10^(-4))/Z11</f>
        <v>0.21762857142857145</v>
      </c>
      <c r="AA13" s="2952">
        <f t="shared" si="5"/>
        <v>0.21762857142857145</v>
      </c>
      <c r="AB13" s="2952">
        <f t="shared" si="5"/>
        <v>0.21762857142857145</v>
      </c>
      <c r="AC13" s="2952">
        <f t="shared" si="5"/>
        <v>0.21762857142857145</v>
      </c>
      <c r="AD13" s="2952">
        <f t="shared" si="5"/>
        <v>0.21762857142857145</v>
      </c>
      <c r="AE13" s="2952">
        <f t="shared" si="5"/>
        <v>0.21762857142857145</v>
      </c>
      <c r="AF13" s="2952">
        <f t="shared" si="5"/>
        <v>0.21762857142857145</v>
      </c>
      <c r="AG13" s="2952">
        <f t="shared" si="5"/>
        <v>0.21762857142857145</v>
      </c>
      <c r="AH13" s="2952">
        <f t="shared" si="5"/>
        <v>0.21762857142857145</v>
      </c>
      <c r="AI13" s="2952">
        <f t="shared" si="5"/>
        <v>0.21762857142857145</v>
      </c>
      <c r="AJ13" s="2952">
        <f t="shared" si="5"/>
        <v>0.21762857142857145</v>
      </c>
    </row>
    <row r="14" spans="1:39" ht="12.75" customHeight="1" thickBot="1">
      <c r="A14" s="3674"/>
      <c r="B14" s="1449"/>
      <c r="C14" s="1450"/>
      <c r="D14" s="1451"/>
      <c r="E14" s="1451"/>
      <c r="F14" s="1452"/>
      <c r="G14" s="1453" t="s">
        <v>949</v>
      </c>
      <c r="H14" s="1454"/>
      <c r="I14" s="1455"/>
      <c r="J14" s="1456"/>
      <c r="K14" s="1399"/>
      <c r="L14" s="2188"/>
      <c r="M14" s="2188"/>
      <c r="N14" s="2188"/>
      <c r="O14" s="2188"/>
      <c r="P14" s="2188"/>
      <c r="Q14" s="2188"/>
      <c r="R14" s="2956">
        <v>13</v>
      </c>
      <c r="S14" s="2945"/>
      <c r="T14" s="2956">
        <f t="shared" ca="1" si="0"/>
        <v>0</v>
      </c>
      <c r="U14" s="2945"/>
      <c r="V14" s="2956">
        <f t="shared" ca="1" si="1"/>
        <v>0</v>
      </c>
      <c r="W14" s="2188"/>
      <c r="X14" s="2188"/>
      <c r="Y14" s="2188"/>
      <c r="Z14" s="2188"/>
      <c r="AA14" s="2188"/>
      <c r="AB14" s="2188"/>
      <c r="AC14" s="2189"/>
    </row>
    <row r="15" spans="1:39" ht="13.5" customHeight="1" thickBot="1">
      <c r="A15" s="3675"/>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56">
        <v>14</v>
      </c>
      <c r="S15" s="2945"/>
      <c r="T15" s="2956">
        <f t="shared" ca="1" si="0"/>
        <v>0</v>
      </c>
      <c r="U15" s="2945"/>
      <c r="V15" s="2956">
        <f t="shared" ca="1" si="1"/>
        <v>0</v>
      </c>
      <c r="W15" s="2188"/>
      <c r="X15" s="2188"/>
      <c r="Y15" s="2188"/>
      <c r="Z15" s="2188"/>
      <c r="AA15" s="2188"/>
      <c r="AB15" s="2188"/>
      <c r="AC15" s="2189"/>
    </row>
    <row r="16" spans="1:39" ht="24">
      <c r="A16" s="3672" t="s">
        <v>1839</v>
      </c>
      <c r="B16" s="1425" t="s">
        <v>950</v>
      </c>
      <c r="C16" s="1052">
        <f>ROUND(SUM(G17:J17)/C17,0)</f>
        <v>0</v>
      </c>
      <c r="D16" s="1458" t="s">
        <v>951</v>
      </c>
      <c r="E16" s="1459" t="s">
        <v>3018</v>
      </c>
      <c r="F16" s="1460" t="s">
        <v>3019</v>
      </c>
      <c r="G16" s="1461"/>
      <c r="H16" s="1461"/>
      <c r="I16" s="1461"/>
      <c r="J16" s="1461"/>
      <c r="K16" s="1399"/>
      <c r="L16" s="1462" t="s">
        <v>988</v>
      </c>
      <c r="M16" s="1045">
        <v>0.25</v>
      </c>
      <c r="N16" s="1045">
        <v>0.2</v>
      </c>
      <c r="O16" s="1045">
        <v>0.15</v>
      </c>
      <c r="P16" s="1537">
        <v>0.1</v>
      </c>
      <c r="Q16" s="2191"/>
      <c r="R16" s="2956">
        <v>15</v>
      </c>
      <c r="S16" s="2945"/>
      <c r="T16" s="2956">
        <f t="shared" ca="1" si="0"/>
        <v>0</v>
      </c>
      <c r="U16" s="2945"/>
      <c r="V16" s="2956">
        <f t="shared" ca="1" si="1"/>
        <v>0</v>
      </c>
      <c r="W16" s="2191"/>
      <c r="X16" s="2191"/>
      <c r="Y16" s="2191"/>
      <c r="Z16" s="2191"/>
      <c r="AA16" s="2191"/>
      <c r="AB16" s="2191"/>
      <c r="AC16" s="2192"/>
    </row>
    <row r="17" spans="1:40" ht="13.5" thickBot="1">
      <c r="A17" s="3673"/>
      <c r="B17" s="1463" t="s">
        <v>953</v>
      </c>
      <c r="C17" s="1053">
        <f>SUMPRODUCT((修正!A2:A5=E2)*(修正!B1:M1=G2)*(修正!B2:M5))</f>
        <v>3.5</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92" t="s">
        <v>956</v>
      </c>
      <c r="C18" s="2793">
        <f>SUMIF(修正!C18:C39,E3,修正!E18:E39)</f>
        <v>1</v>
      </c>
      <c r="D18" s="2794"/>
      <c r="E18" s="2795"/>
      <c r="F18" s="2796"/>
      <c r="G18" s="2790"/>
      <c r="H18" s="2790"/>
      <c r="I18" s="2790"/>
      <c r="J18" s="2797"/>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3286">
        <f>ROUND(IF(H19="按公示增长率计算",SUMPRODUCT((地价!A3:A24=YEAR(G19)&amp;"-"&amp;ROUNDUP(MONTH(G19)/3,0))*(地价!X2:AB2=E2)*(地价!X3:AB24)),IF(H19="地价指数",M20/M19,(1+I19)^O19)),4)</f>
        <v>1.3547</v>
      </c>
      <c r="D19" s="1472" t="s">
        <v>958</v>
      </c>
      <c r="E19" s="1055">
        <v>41640</v>
      </c>
      <c r="F19" s="1472" t="s">
        <v>959</v>
      </c>
      <c r="G19" s="1056">
        <f>'数据-取费表'!B2</f>
        <v>43382</v>
      </c>
      <c r="H19" s="1473" t="s">
        <v>3017</v>
      </c>
      <c r="I19" s="2804" t="str">
        <f>IF(H19="季度增幅（自定义）",SUMIF(N21:N24,E2,O21:O24),"")</f>
        <v/>
      </c>
      <c r="J19" s="1469"/>
      <c r="K19" s="1479"/>
      <c r="L19" s="3059" t="s">
        <v>2843</v>
      </c>
      <c r="M19" s="3060">
        <f>ROUND(SUMIF(地价!B2:F2,E2,地价!B24:F24),0)</f>
        <v>258</v>
      </c>
      <c r="N19" s="2806" t="s">
        <v>1677</v>
      </c>
      <c r="O19" s="2805">
        <f>ROUNDDOWN(DATEDIF(E19,G19,"M")/3,0)</f>
        <v>19</v>
      </c>
      <c r="P19" s="1594"/>
      <c r="R19" s="2944"/>
      <c r="S19" s="2944"/>
      <c r="T19" s="2944"/>
      <c r="U19" s="2944"/>
      <c r="V19" s="294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98" t="s">
        <v>1837</v>
      </c>
      <c r="B20" s="2799" t="s">
        <v>972</v>
      </c>
      <c r="C20" s="2800">
        <f ca="1">ROUND(POWER(1+G20,J20-I20)*(POWER(1+G20,I20)-1)/(POWER(1+G20,J20)-1),4)</f>
        <v>1</v>
      </c>
      <c r="D20" s="2801" t="s">
        <v>973</v>
      </c>
      <c r="E20" s="3115">
        <f ca="1">存贷款利率!I4/100</f>
        <v>4.3499999999999997E-2</v>
      </c>
      <c r="F20" s="2801" t="s">
        <v>974</v>
      </c>
      <c r="G20" s="2802">
        <f ca="1">SUMIF(M15:P15,E2,M17:P17)</f>
        <v>5.1999999999999998E-2</v>
      </c>
      <c r="H20" s="2801" t="s">
        <v>975</v>
      </c>
      <c r="I20" s="2791">
        <f>SUMIF('数据-取费表'!C6:C15,E2,'数据-取费表'!F6:F15)/COUNTIF('数据-取费表'!C6:C15,E2)</f>
        <v>50</v>
      </c>
      <c r="J20" s="2803">
        <f>IF(E2="住宅",70,IF(E2="商业",40,50))</f>
        <v>50</v>
      </c>
      <c r="K20" s="1479"/>
      <c r="L20" s="3061" t="s">
        <v>2844</v>
      </c>
      <c r="M20" s="3062">
        <f>ROUND(SUMPRODUCT((地价!A4:A24=YEAR(G19)&amp;"-"&amp;ROUNDUP(MONTH(G19)/3,0))*(地价!B2:F2=E2)*(地价!B4:F24)),0)</f>
        <v>341</v>
      </c>
      <c r="N20" s="2809" t="s">
        <v>2649</v>
      </c>
      <c r="O20" s="2807" t="s">
        <v>2648</v>
      </c>
      <c r="P20" s="2808" t="s">
        <v>2654</v>
      </c>
      <c r="R20" s="2944"/>
      <c r="S20" s="2944"/>
      <c r="T20" s="2944"/>
      <c r="U20" s="2944"/>
      <c r="V20" s="2944"/>
      <c r="W20" s="2194"/>
      <c r="X20" s="2194"/>
      <c r="Y20" s="2194"/>
      <c r="Z20" s="2194"/>
      <c r="AA20" s="2194"/>
      <c r="AB20" s="2194"/>
      <c r="AC20" s="2194"/>
      <c r="AD20" s="1470"/>
      <c r="AE20" s="1470"/>
      <c r="AF20" s="1470"/>
      <c r="AG20" s="1470"/>
      <c r="AH20" s="1470"/>
      <c r="AI20" s="1470"/>
    </row>
    <row r="21" spans="1:40" s="1419" customFormat="1" ht="14.25">
      <c r="A21" s="1640" t="s">
        <v>1838</v>
      </c>
      <c r="B21" s="1478" t="s">
        <v>3016</v>
      </c>
      <c r="C21" s="1155">
        <f>IF(B21="容积率修正",IF(G3&lt;=10,D22,J22),C23)</f>
        <v>1</v>
      </c>
      <c r="D21" s="1479"/>
      <c r="E21" s="1479"/>
      <c r="F21" s="1479"/>
      <c r="G21" s="1479"/>
      <c r="H21" s="1479"/>
      <c r="I21" s="1479"/>
      <c r="J21" s="1480"/>
      <c r="K21" s="1479"/>
      <c r="L21" s="1479"/>
      <c r="M21" s="1479"/>
      <c r="N21" s="1476" t="s">
        <v>976</v>
      </c>
      <c r="O21" s="1540"/>
      <c r="P21" s="2789">
        <f>SUMPRODUCT((地价!A3:A24=YEAR(G19)&amp;"-"&amp;ROUNDUP(MONTH(G19)/3,0))*(地价!AD2:AH2=N21)*(地价!AD3:AH24))</f>
        <v>1.5299999999999999E-2</v>
      </c>
      <c r="R21" s="2944"/>
      <c r="S21" s="2944"/>
      <c r="T21" s="2944"/>
      <c r="U21" s="2944"/>
      <c r="V21" s="294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1</v>
      </c>
      <c r="E22" s="1037">
        <f>ROUNDDOWN(G3,1)</f>
        <v>3.5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7" t="s">
        <v>978</v>
      </c>
      <c r="J22" s="1057" t="str">
        <f>IF(G3&gt;10,D113,"——")</f>
        <v>——</v>
      </c>
      <c r="K22" s="1479"/>
      <c r="L22" s="1479"/>
      <c r="M22" s="1479"/>
      <c r="N22" s="1476" t="s">
        <v>979</v>
      </c>
      <c r="O22" s="1540"/>
      <c r="P22" s="2789">
        <f>SUMPRODUCT((地价!A3:A24=YEAR(G19)&amp;"-"&amp;ROUNDUP(MONTH(G19)/3,0))*(地价!AD2:AH2=N22)*(地价!AD3:AH24))</f>
        <v>1.5299999999999999E-2</v>
      </c>
      <c r="R22" s="2944"/>
      <c r="S22" s="2944"/>
      <c r="T22" s="2944"/>
      <c r="U22" s="2944"/>
      <c r="V22" s="2944"/>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89">
        <f>SUMPRODUCT((地价!A3:A24=YEAR(G19)&amp;"-"&amp;ROUNDUP(MONTH(G19)/3,0))*(地价!AD2:AH2=N23)*(地价!AD3:AH24))</f>
        <v>2.41E-2</v>
      </c>
      <c r="R23" s="2944"/>
      <c r="S23" s="2944"/>
      <c r="T23" s="2944"/>
      <c r="U23" s="2944"/>
      <c r="V23" s="2944"/>
      <c r="W23" s="2194"/>
      <c r="X23" s="2194"/>
      <c r="Y23" s="2194"/>
      <c r="Z23" s="2194"/>
      <c r="AA23" s="2194"/>
      <c r="AB23" s="2194"/>
      <c r="AC23" s="2194"/>
      <c r="AN23" s="1402"/>
    </row>
    <row r="24" spans="1:40" s="1419" customFormat="1" ht="15.75" thickBot="1">
      <c r="A24" s="1639" t="s">
        <v>1873</v>
      </c>
      <c r="B24" s="1413" t="s">
        <v>981</v>
      </c>
      <c r="C24" s="1059">
        <f>SUMIF(A44:A87,E2,B44:B87)</f>
        <v>1.0365</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44"/>
      <c r="S24" s="2944"/>
      <c r="T24" s="2944"/>
      <c r="U24" s="2944"/>
      <c r="V24" s="294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816" t="s">
        <v>2652</v>
      </c>
      <c r="O25" s="2194"/>
      <c r="P25" s="1539">
        <f>SUMPRODUCT((地价!A3:A24=YEAR(G19)&amp;"-"&amp;ROUNDUP(MONTH(G19)/3,0))*(地价!AD2:AH2=N25)*(地价!AD3:AH24))</f>
        <v>2.1899999999999999E-2</v>
      </c>
      <c r="R25" s="2944"/>
      <c r="S25" s="2944"/>
      <c r="T25" s="2944"/>
      <c r="U25" s="2944"/>
      <c r="V25" s="2944"/>
      <c r="W25" s="2194"/>
      <c r="X25" s="2194"/>
      <c r="Y25" s="2194"/>
      <c r="Z25" s="2194"/>
      <c r="AA25" s="2194"/>
      <c r="AB25" s="2194"/>
      <c r="AC25" s="2194"/>
    </row>
    <row r="26" spans="1:40" ht="14.25">
      <c r="A26" s="1487"/>
      <c r="B26" s="1481" t="s">
        <v>987</v>
      </c>
      <c r="C26" s="1060">
        <f ca="1">E29+SUM(E33:E39)</f>
        <v>36761</v>
      </c>
      <c r="D26" s="1488"/>
      <c r="E26" s="1454"/>
      <c r="F26" s="1489"/>
      <c r="G26" s="1454"/>
      <c r="H26" s="1454"/>
      <c r="I26" s="1454"/>
      <c r="J26" s="1490"/>
      <c r="K26" s="1399"/>
      <c r="L26" s="2194"/>
      <c r="M26" s="2194"/>
      <c r="N26" s="2194"/>
      <c r="O26" s="2194"/>
      <c r="P26" s="2194"/>
      <c r="Q26" s="2194"/>
      <c r="R26" s="2944"/>
      <c r="S26" s="2944"/>
      <c r="T26" s="2944"/>
      <c r="U26" s="2944"/>
      <c r="V26" s="2944"/>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44"/>
      <c r="S27" s="2944"/>
      <c r="T27" s="2944"/>
      <c r="U27" s="2944"/>
      <c r="V27" s="294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44"/>
      <c r="S28" s="2944"/>
      <c r="T28" s="2944"/>
      <c r="U28" s="2944"/>
      <c r="V28" s="2944"/>
      <c r="W28" s="2194"/>
      <c r="X28" s="2194"/>
      <c r="Y28" s="2194"/>
      <c r="Z28" s="2194"/>
      <c r="AA28" s="2194"/>
      <c r="AB28" s="2194"/>
      <c r="AC28" s="2194"/>
      <c r="AD28" s="1470"/>
      <c r="AE28" s="1470"/>
      <c r="AF28" s="1470"/>
      <c r="AG28" s="1470"/>
    </row>
    <row r="29" spans="1:40" ht="24">
      <c r="A29" s="1500"/>
      <c r="B29" s="1501" t="s">
        <v>994</v>
      </c>
      <c r="C29" s="1060">
        <f ca="1">ROUND(C5*C18*C19*C20*C21*C24,0)</f>
        <v>36761</v>
      </c>
      <c r="D29" s="1502">
        <f>'数据-基础表'!B3</f>
        <v>10000</v>
      </c>
      <c r="E29" s="1848">
        <f ca="1">ROUND(C29*D29/10000,0)</f>
        <v>36761</v>
      </c>
      <c r="F29" s="1503" t="s">
        <v>1702</v>
      </c>
      <c r="G29" s="1504"/>
      <c r="H29" s="1504"/>
      <c r="I29" s="1504"/>
      <c r="J29" s="1505"/>
      <c r="K29" s="1399"/>
      <c r="L29" s="2194"/>
      <c r="M29" s="2194"/>
      <c r="N29" s="2194"/>
      <c r="O29" s="2194"/>
      <c r="P29" s="2194"/>
      <c r="Q29" s="2194"/>
      <c r="R29" s="2944"/>
      <c r="S29" s="2944"/>
      <c r="T29" s="2944"/>
      <c r="U29" s="2944"/>
      <c r="V29" s="2944"/>
      <c r="W29" s="2194"/>
      <c r="X29" s="2194"/>
      <c r="Y29" s="2194"/>
      <c r="Z29" s="2194"/>
      <c r="AA29" s="2194"/>
      <c r="AB29" s="2194"/>
      <c r="AC29" s="2194"/>
      <c r="AH29" s="1400"/>
      <c r="AI29" s="1400"/>
      <c r="AJ29" s="1403"/>
      <c r="AK29" s="1403"/>
      <c r="AL29" s="1403"/>
      <c r="AM29" s="1403"/>
    </row>
    <row r="30" spans="1:40" ht="24.75" thickBot="1">
      <c r="A30" s="1506"/>
      <c r="B30" s="1507" t="s">
        <v>995</v>
      </c>
      <c r="C30" s="1049">
        <f ca="1">ROUND(IF(E2="工业",C29*M39,C29*M38),0)</f>
        <v>9190</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678" t="s">
        <v>2963</v>
      </c>
      <c r="B33" s="1522" t="s">
        <v>1000</v>
      </c>
      <c r="C33" s="1060">
        <f ca="1">ROUND(D5*C19*C20*C24*F33,0)</f>
        <v>0</v>
      </c>
      <c r="D33" s="1535"/>
      <c r="E33" s="1046">
        <f ca="1">ROUND(C33*D33/10000,0)</f>
        <v>0</v>
      </c>
      <c r="F33" s="1046">
        <f>SUMIF(修正!A45:A56,G2,修正!B45:B56)</f>
        <v>0.8</v>
      </c>
      <c r="G33" s="1046">
        <f t="shared" ref="G33:G39" ca="1" si="6">ROUND(IF(E2="工业",C33*$M$39,C33*$M$38),0)</f>
        <v>0</v>
      </c>
      <c r="H33" s="1046">
        <f>D33</f>
        <v>0</v>
      </c>
      <c r="I33" s="1046">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679"/>
      <c r="B34" s="1443" t="s">
        <v>1001</v>
      </c>
      <c r="C34" s="1060">
        <f ca="1">ROUND(D5*C19*C20*C24*F34,0)</f>
        <v>0</v>
      </c>
      <c r="D34" s="1535"/>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679"/>
      <c r="B35" s="1443" t="s">
        <v>1002</v>
      </c>
      <c r="C35" s="1060">
        <f ca="1">ROUND(D5*C19*C20*C24*F35,0)</f>
        <v>0</v>
      </c>
      <c r="D35" s="1535"/>
      <c r="E35" s="1046">
        <f t="shared" ca="1" si="7"/>
        <v>0</v>
      </c>
      <c r="F35" s="1046">
        <f>SUMIF(修正!A45:A56,G2,修正!D45:D56)</f>
        <v>0.36</v>
      </c>
      <c r="G35" s="1046">
        <f t="shared" ca="1" si="6"/>
        <v>0</v>
      </c>
      <c r="H35" s="1046">
        <f t="shared" si="8"/>
        <v>0</v>
      </c>
      <c r="I35" s="1046">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80"/>
      <c r="B36" s="1443" t="s">
        <v>1003</v>
      </c>
      <c r="C36" s="1060">
        <f ca="1">ROUND(D5*C19*C20*C24*F36,0)</f>
        <v>0</v>
      </c>
      <c r="D36" s="1535"/>
      <c r="E36" s="1046">
        <f t="shared" ca="1" si="7"/>
        <v>0</v>
      </c>
      <c r="F36" s="1046">
        <f>SUMIF(修正!A45:A56,G2,修正!E45:E56)</f>
        <v>0.3</v>
      </c>
      <c r="G36" s="1046">
        <f t="shared" ca="1" si="6"/>
        <v>0</v>
      </c>
      <c r="H36" s="1046">
        <f t="shared" si="8"/>
        <v>0</v>
      </c>
      <c r="I36" s="1046">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f ca="1">ROUND(C5*C19*C20*C24*F37,0)</f>
        <v>11028</v>
      </c>
      <c r="D37" s="1535"/>
      <c r="E37" s="1046">
        <f t="shared" ca="1" si="7"/>
        <v>0</v>
      </c>
      <c r="F37" s="1060">
        <f>SUMIF(修正!A45:A56,G2,修正!F45:F56)</f>
        <v>0.3</v>
      </c>
      <c r="G37" s="1046">
        <f t="shared" ca="1" si="6"/>
        <v>2757</v>
      </c>
      <c r="H37" s="1046">
        <f t="shared" si="8"/>
        <v>0</v>
      </c>
      <c r="I37" s="1046">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f ca="1">ROUND(C5*C19*C20*C24*F38,0)</f>
        <v>11028</v>
      </c>
      <c r="D38" s="1535"/>
      <c r="E38" s="1046">
        <f t="shared" ca="1" si="7"/>
        <v>0</v>
      </c>
      <c r="F38" s="1060">
        <f>SUMIF(修正!A45:A56,G2,修正!G45:G56)</f>
        <v>0.3</v>
      </c>
      <c r="G38" s="1046">
        <f t="shared" ca="1" si="6"/>
        <v>2757</v>
      </c>
      <c r="H38" s="1046">
        <f t="shared" si="8"/>
        <v>0</v>
      </c>
      <c r="I38" s="1046">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f ca="1">ROUND(C5*C19*C20*C24*F39,0)</f>
        <v>9190</v>
      </c>
      <c r="D39" s="1536"/>
      <c r="E39" s="1049">
        <f t="shared" ca="1" si="7"/>
        <v>0</v>
      </c>
      <c r="F39" s="1062">
        <f>SUMIF(修正!A45:A56,G2,修正!H45:H56)</f>
        <v>0.25</v>
      </c>
      <c r="G39" s="1049">
        <f t="shared" ca="1" si="6"/>
        <v>2298</v>
      </c>
      <c r="H39" s="1049">
        <f t="shared" si="8"/>
        <v>0</v>
      </c>
      <c r="I39" s="1049">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3"/>
      <c r="H44" s="2444"/>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45" t="s">
        <v>1008</v>
      </c>
      <c r="B45" s="2446">
        <f>1+E47</f>
        <v>1</v>
      </c>
      <c r="C45" s="2447"/>
      <c r="D45" s="2448"/>
      <c r="E45" s="2449"/>
      <c r="F45" s="2450"/>
      <c r="G45" s="2444"/>
      <c r="H45" s="2444"/>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31" t="s">
        <v>1010</v>
      </c>
      <c r="C46" s="2451" t="s">
        <v>1011</v>
      </c>
      <c r="D46" s="2452" t="s">
        <v>1012</v>
      </c>
      <c r="E46" s="2453" t="s">
        <v>1014</v>
      </c>
      <c r="F46" s="2454" t="s">
        <v>2253</v>
      </c>
      <c r="G46" s="2452" t="s">
        <v>1015</v>
      </c>
      <c r="H46" s="2436" t="s">
        <v>2422</v>
      </c>
      <c r="I46" s="2452" t="s">
        <v>1013</v>
      </c>
      <c r="J46" s="2455" t="s">
        <v>1016</v>
      </c>
      <c r="K46" s="2455" t="s">
        <v>1017</v>
      </c>
      <c r="L46" s="2455" t="s">
        <v>1018</v>
      </c>
      <c r="M46" s="2455" t="s">
        <v>1019</v>
      </c>
      <c r="N46" s="2455"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34"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7"/>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132" hidden="1">
      <c r="A48" s="1064" t="s">
        <v>1022</v>
      </c>
      <c r="B48"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8">
        <f t="shared" si="10"/>
        <v>0</v>
      </c>
      <c r="E48" s="2460"/>
      <c r="F48" s="2458"/>
      <c r="G48" s="2437"/>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31">
        <f>估价对象房地状况!C19</f>
        <v>0</v>
      </c>
      <c r="C49" s="1048"/>
      <c r="D49" s="2438">
        <f t="shared" si="10"/>
        <v>0</v>
      </c>
      <c r="E49" s="2460"/>
      <c r="F49" s="2458"/>
      <c r="G49" s="2437"/>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117" t="s">
        <v>2938</v>
      </c>
      <c r="C50" s="1048"/>
      <c r="D50" s="2438">
        <f t="shared" si="10"/>
        <v>0</v>
      </c>
      <c r="E50" s="2460"/>
      <c r="F50" s="2458"/>
      <c r="G50" s="2437"/>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31">
        <f>估价对象房地状况!C24</f>
        <v>0</v>
      </c>
      <c r="C51" s="1048"/>
      <c r="D51" s="2438">
        <f t="shared" si="10"/>
        <v>0</v>
      </c>
      <c r="E51" s="2460"/>
      <c r="F51" s="2458"/>
      <c r="G51" s="2437"/>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116" t="s">
        <v>2937</v>
      </c>
      <c r="C52" s="1048"/>
      <c r="D52" s="2438">
        <f t="shared" si="10"/>
        <v>0</v>
      </c>
      <c r="E52" s="2460"/>
      <c r="F52" s="2458"/>
      <c r="G52" s="2437"/>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61" t="s">
        <v>1027</v>
      </c>
      <c r="B53" s="2432" t="str">
        <f>估价对象房地状况!C21</f>
        <v>估价对象所在区域公共配套设施齐备</v>
      </c>
      <c r="C53" s="1048"/>
      <c r="D53" s="2438">
        <f t="shared" si="10"/>
        <v>0</v>
      </c>
      <c r="E53" s="2460"/>
      <c r="F53" s="2458"/>
      <c r="G53" s="2437"/>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61" t="s">
        <v>1028</v>
      </c>
      <c r="B54" s="2431" t="str">
        <f>估价对象房地状况!C22</f>
        <v>估价对象所在区域基础设施水平达到七通</v>
      </c>
      <c r="C54" s="1048"/>
      <c r="D54" s="2438">
        <f t="shared" si="10"/>
        <v>0</v>
      </c>
      <c r="E54" s="2460"/>
      <c r="F54" s="2458"/>
      <c r="G54" s="2437"/>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96.75" hidden="1" thickBot="1">
      <c r="A55" s="2462" t="s">
        <v>1029</v>
      </c>
      <c r="B55" s="2435" t="str">
        <f>估价对象房地状况!C20</f>
        <v>区域自然环境：官园公园、什刹海公园、北海公园；人文环境：妙应寺白塔、恭王府、历代帝王庙、梅兰芳纪念馆、西直门天主教堂、西城区图书馆；综合评价环境状况好。</v>
      </c>
      <c r="C55" s="1048"/>
      <c r="D55" s="2438">
        <f t="shared" si="10"/>
        <v>0</v>
      </c>
      <c r="E55" s="2464"/>
      <c r="F55" s="2458"/>
      <c r="G55" s="2437"/>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5" t="s">
        <v>1030</v>
      </c>
      <c r="B56" s="2446">
        <f>1+E58</f>
        <v>1.0365</v>
      </c>
      <c r="C56" s="2465"/>
      <c r="D56" s="2448"/>
      <c r="E56" s="2449"/>
      <c r="F56" s="2450"/>
      <c r="G56" s="2444"/>
      <c r="H56" s="2444"/>
      <c r="I56" s="2444"/>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31"/>
      <c r="C57" s="2451" t="s">
        <v>1011</v>
      </c>
      <c r="D57" s="2452" t="s">
        <v>1012</v>
      </c>
      <c r="E57" s="2453" t="s">
        <v>1014</v>
      </c>
      <c r="F57" s="2454" t="s">
        <v>2254</v>
      </c>
      <c r="G57" s="2452" t="s">
        <v>1015</v>
      </c>
      <c r="H57" s="2436" t="s">
        <v>2422</v>
      </c>
      <c r="I57" s="2452" t="s">
        <v>1013</v>
      </c>
      <c r="J57" s="2455" t="s">
        <v>1016</v>
      </c>
      <c r="K57" s="2455" t="s">
        <v>1017</v>
      </c>
      <c r="L57" s="2455" t="s">
        <v>1018</v>
      </c>
      <c r="M57" s="2455" t="s">
        <v>1019</v>
      </c>
      <c r="N57" s="2455"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4" t="s">
        <v>1031</v>
      </c>
      <c r="B58" s="3235" t="str">
        <f>估价对象房地状况!C17</f>
        <v>估价对象位于西直门商圈，估价对象周边主要以居住为主，办公楼项目较少，办公集聚程度一般。</v>
      </c>
      <c r="C58" s="3238" t="s">
        <v>3047</v>
      </c>
      <c r="D58" s="3234">
        <f t="shared" ref="D58:D66" si="15">SUMIF($J$57:$N$57,C58,J58:N58)</f>
        <v>0</v>
      </c>
      <c r="E58" s="2457">
        <f>ROUND(SUM(D58:D66),4)</f>
        <v>3.6499999999999998E-2</v>
      </c>
      <c r="F58" s="2458">
        <f>IF(E2="办公",SUMIF(L1:L12,G2,N1:N12),"——")</f>
        <v>7.2999999999999995E-2</v>
      </c>
      <c r="G58" s="2437">
        <v>8.6999999999999994E-3</v>
      </c>
      <c r="H58" s="3229">
        <f>IFERROR(ROUNDDOWN($F$58*I58/2,4),"——")</f>
        <v>8.6999999999999994E-3</v>
      </c>
      <c r="I58" s="3230">
        <v>0.24</v>
      </c>
      <c r="J58" s="3231">
        <f t="shared" ref="J58:J66" si="16">K58+$G58</f>
        <v>1.7399999999999999E-2</v>
      </c>
      <c r="K58" s="3231">
        <f t="shared" ref="K58:K66" si="17">$L58+$G58</f>
        <v>8.6999999999999994E-3</v>
      </c>
      <c r="L58" s="3231">
        <v>0</v>
      </c>
      <c r="M58" s="3231">
        <f t="shared" ref="M58:N66" si="18">L58-$G58</f>
        <v>-8.6999999999999994E-3</v>
      </c>
      <c r="N58" s="3231">
        <f t="shared" si="18"/>
        <v>-1.7399999999999999E-2</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132">
      <c r="A59" s="1064" t="s">
        <v>1022</v>
      </c>
      <c r="B59" s="3236"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38" t="s">
        <v>3024</v>
      </c>
      <c r="D59" s="3234">
        <f t="shared" si="15"/>
        <v>1.095E-2</v>
      </c>
      <c r="E59" s="2460"/>
      <c r="F59" s="2458"/>
      <c r="G59" s="2437">
        <v>1.095E-2</v>
      </c>
      <c r="H59" s="3232">
        <f t="shared" ref="H59:H66" si="19">IFERROR($F$58*I59/2,"——")</f>
        <v>1.095E-2</v>
      </c>
      <c r="I59" s="3230">
        <v>0.3</v>
      </c>
      <c r="J59" s="3231">
        <f t="shared" si="16"/>
        <v>2.1899999999999999E-2</v>
      </c>
      <c r="K59" s="3231">
        <f t="shared" si="17"/>
        <v>1.095E-2</v>
      </c>
      <c r="L59" s="3231">
        <v>0</v>
      </c>
      <c r="M59" s="3231">
        <f t="shared" si="18"/>
        <v>-1.095E-2</v>
      </c>
      <c r="N59" s="3231">
        <f t="shared" si="18"/>
        <v>-2.1899999999999999E-2</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31">
        <f>估价对象房地状况!C19</f>
        <v>0</v>
      </c>
      <c r="C60" s="3238" t="s">
        <v>3024</v>
      </c>
      <c r="D60" s="3234">
        <f t="shared" si="15"/>
        <v>2.9199999999999999E-3</v>
      </c>
      <c r="E60" s="2460"/>
      <c r="F60" s="2458"/>
      <c r="G60" s="2437">
        <v>2.9199999999999999E-3</v>
      </c>
      <c r="H60" s="3232">
        <f t="shared" si="19"/>
        <v>2.9199999999999999E-3</v>
      </c>
      <c r="I60" s="3230">
        <v>0.08</v>
      </c>
      <c r="J60" s="3231">
        <f t="shared" si="16"/>
        <v>5.8399999999999997E-3</v>
      </c>
      <c r="K60" s="3231">
        <f t="shared" si="17"/>
        <v>2.9199999999999999E-3</v>
      </c>
      <c r="L60" s="3231">
        <v>0</v>
      </c>
      <c r="M60" s="3231">
        <f t="shared" si="18"/>
        <v>-2.9199999999999999E-3</v>
      </c>
      <c r="N60" s="3231">
        <f t="shared" si="18"/>
        <v>-5.8399999999999997E-3</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117" t="s">
        <v>2939</v>
      </c>
      <c r="C61" s="3238" t="s">
        <v>3024</v>
      </c>
      <c r="D61" s="3234">
        <f t="shared" si="15"/>
        <v>1.4599999999999999E-3</v>
      </c>
      <c r="E61" s="2460"/>
      <c r="F61" s="2458"/>
      <c r="G61" s="2437">
        <v>1.4599999999999999E-3</v>
      </c>
      <c r="H61" s="3232">
        <f t="shared" si="19"/>
        <v>1.4599999999999999E-3</v>
      </c>
      <c r="I61" s="3230">
        <v>0.04</v>
      </c>
      <c r="J61" s="3231">
        <f t="shared" si="16"/>
        <v>2.9199999999999999E-3</v>
      </c>
      <c r="K61" s="3231">
        <f t="shared" si="17"/>
        <v>1.4599999999999999E-3</v>
      </c>
      <c r="L61" s="3231">
        <v>0</v>
      </c>
      <c r="M61" s="3231">
        <f t="shared" si="18"/>
        <v>-1.4599999999999999E-3</v>
      </c>
      <c r="N61" s="3231">
        <f t="shared" si="18"/>
        <v>-2.9199999999999999E-3</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31">
        <f>估价对象房地状况!C24</f>
        <v>0</v>
      </c>
      <c r="C62" s="3238" t="s">
        <v>3024</v>
      </c>
      <c r="D62" s="3234">
        <f t="shared" si="15"/>
        <v>1.83E-3</v>
      </c>
      <c r="E62" s="2460"/>
      <c r="F62" s="2458"/>
      <c r="G62" s="2437">
        <v>1.83E-3</v>
      </c>
      <c r="H62" s="3232">
        <f t="shared" si="19"/>
        <v>1.825E-3</v>
      </c>
      <c r="I62" s="3230">
        <v>0.05</v>
      </c>
      <c r="J62" s="3231">
        <f t="shared" si="16"/>
        <v>3.6600000000000001E-3</v>
      </c>
      <c r="K62" s="3231">
        <f t="shared" si="17"/>
        <v>1.83E-3</v>
      </c>
      <c r="L62" s="3231">
        <v>0</v>
      </c>
      <c r="M62" s="3231">
        <f t="shared" si="18"/>
        <v>-1.83E-3</v>
      </c>
      <c r="N62" s="3231">
        <f t="shared" si="18"/>
        <v>-3.6600000000000001E-3</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116" t="s">
        <v>2937</v>
      </c>
      <c r="C63" s="3238" t="s">
        <v>3024</v>
      </c>
      <c r="D63" s="3234">
        <f t="shared" si="15"/>
        <v>1.83E-3</v>
      </c>
      <c r="E63" s="2460"/>
      <c r="F63" s="2458"/>
      <c r="G63" s="2437">
        <v>1.83E-3</v>
      </c>
      <c r="H63" s="3232">
        <f t="shared" si="19"/>
        <v>1.825E-3</v>
      </c>
      <c r="I63" s="3230">
        <v>0.05</v>
      </c>
      <c r="J63" s="3231">
        <f t="shared" si="16"/>
        <v>3.6600000000000001E-3</v>
      </c>
      <c r="K63" s="3231">
        <f t="shared" si="17"/>
        <v>1.83E-3</v>
      </c>
      <c r="L63" s="3231">
        <v>0</v>
      </c>
      <c r="M63" s="3231">
        <f t="shared" si="18"/>
        <v>-1.83E-3</v>
      </c>
      <c r="N63" s="3231">
        <f t="shared" si="18"/>
        <v>-3.6600000000000001E-3</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32" t="str">
        <f>估价对象房地状况!C21</f>
        <v>估价对象所在区域公共配套设施齐备</v>
      </c>
      <c r="C64" s="3238" t="s">
        <v>3025</v>
      </c>
      <c r="D64" s="3234">
        <f t="shared" si="15"/>
        <v>4.3800000000000002E-3</v>
      </c>
      <c r="E64" s="2460"/>
      <c r="F64" s="2458"/>
      <c r="G64" s="2437">
        <v>2.1900000000000001E-3</v>
      </c>
      <c r="H64" s="3232">
        <f t="shared" si="19"/>
        <v>2.1899999999999997E-3</v>
      </c>
      <c r="I64" s="3230">
        <v>0.06</v>
      </c>
      <c r="J64" s="3231">
        <f t="shared" si="16"/>
        <v>4.3800000000000002E-3</v>
      </c>
      <c r="K64" s="3231">
        <f t="shared" si="17"/>
        <v>2.1900000000000001E-3</v>
      </c>
      <c r="L64" s="3231">
        <v>0</v>
      </c>
      <c r="M64" s="3231">
        <f t="shared" si="18"/>
        <v>-2.1900000000000001E-3</v>
      </c>
      <c r="N64" s="3231">
        <f t="shared" si="18"/>
        <v>-4.3800000000000002E-3</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32" t="str">
        <f>估价对象房地状况!C22</f>
        <v>估价对象所在区域基础设施水平达到七通</v>
      </c>
      <c r="C65" s="3238" t="s">
        <v>3025</v>
      </c>
      <c r="D65" s="3234">
        <f t="shared" si="15"/>
        <v>8.7600000000000004E-3</v>
      </c>
      <c r="E65" s="2460"/>
      <c r="F65" s="2458"/>
      <c r="G65" s="2437">
        <v>4.3800000000000002E-3</v>
      </c>
      <c r="H65" s="3232">
        <f t="shared" si="19"/>
        <v>4.3799999999999993E-3</v>
      </c>
      <c r="I65" s="3230">
        <v>0.12</v>
      </c>
      <c r="J65" s="3231">
        <f t="shared" si="16"/>
        <v>8.7600000000000004E-3</v>
      </c>
      <c r="K65" s="3231">
        <f t="shared" si="17"/>
        <v>4.3800000000000002E-3</v>
      </c>
      <c r="L65" s="3231">
        <v>0</v>
      </c>
      <c r="M65" s="3231">
        <f t="shared" si="18"/>
        <v>-4.3800000000000002E-3</v>
      </c>
      <c r="N65" s="3231">
        <f t="shared" si="18"/>
        <v>-8.7600000000000004E-3</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96.75" thickBot="1">
      <c r="A66" s="2462" t="s">
        <v>1029</v>
      </c>
      <c r="B66" s="3237" t="str">
        <f>估价对象房地状况!C20</f>
        <v>区域自然环境：官园公园、什刹海公园、北海公园；人文环境：妙应寺白塔、恭王府、历代帝王庙、梅兰芳纪念馆、西直门天主教堂、西城区图书馆；综合评价环境状况好。</v>
      </c>
      <c r="C66" s="3238" t="s">
        <v>3025</v>
      </c>
      <c r="D66" s="3234">
        <f t="shared" si="15"/>
        <v>4.3800000000000002E-3</v>
      </c>
      <c r="E66" s="2464"/>
      <c r="F66" s="2458"/>
      <c r="G66" s="2437">
        <v>2.1900000000000001E-3</v>
      </c>
      <c r="H66" s="3232">
        <f t="shared" si="19"/>
        <v>2.1899999999999997E-3</v>
      </c>
      <c r="I66" s="3233">
        <v>0.06</v>
      </c>
      <c r="J66" s="3231">
        <f t="shared" si="16"/>
        <v>4.3800000000000002E-3</v>
      </c>
      <c r="K66" s="3231">
        <f t="shared" si="17"/>
        <v>2.1900000000000001E-3</v>
      </c>
      <c r="L66" s="3231">
        <v>0</v>
      </c>
      <c r="M66" s="3231">
        <f t="shared" si="18"/>
        <v>-2.1900000000000001E-3</v>
      </c>
      <c r="N66" s="3231">
        <f t="shared" si="18"/>
        <v>-4.3800000000000002E-3</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5" t="s">
        <v>1032</v>
      </c>
      <c r="B67" s="2446">
        <f>1+E69</f>
        <v>1</v>
      </c>
      <c r="C67" s="2465"/>
      <c r="D67" s="2448"/>
      <c r="E67" s="2449"/>
      <c r="F67" s="2450"/>
      <c r="G67" s="2444"/>
      <c r="H67" s="2444"/>
      <c r="I67" s="2444"/>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31"/>
      <c r="C68" s="2451" t="s">
        <v>1011</v>
      </c>
      <c r="D68" s="2452" t="s">
        <v>1012</v>
      </c>
      <c r="E68" s="2453" t="s">
        <v>1014</v>
      </c>
      <c r="F68" s="2454" t="s">
        <v>2255</v>
      </c>
      <c r="G68" s="2452" t="s">
        <v>1015</v>
      </c>
      <c r="H68" s="2436" t="s">
        <v>2422</v>
      </c>
      <c r="I68" s="2452" t="s">
        <v>1013</v>
      </c>
      <c r="J68" s="2455" t="s">
        <v>1016</v>
      </c>
      <c r="K68" s="2455" t="s">
        <v>1017</v>
      </c>
      <c r="L68" s="2455" t="s">
        <v>1018</v>
      </c>
      <c r="M68" s="2455" t="s">
        <v>1019</v>
      </c>
      <c r="N68" s="2455"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34" t="str">
        <f>估价对象房地状况!C15</f>
        <v>估价对象周边居住用地比例、居住小区规模和社区发展完善程度，综合评价居住社区成熟度一般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132">
      <c r="A70" s="1064" t="s">
        <v>1034</v>
      </c>
      <c r="B70"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31">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31">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32" t="str">
        <f>估价对象房地状况!C21</f>
        <v>估价对象所在区域公共配套设施齐备</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32" t="str">
        <f>估价对象房地状况!C22</f>
        <v>估价对象所在区域基础设施水平达到七通</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116" t="s">
        <v>2937</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96">
      <c r="A76" s="1064" t="s">
        <v>1029</v>
      </c>
      <c r="B76" s="2434" t="str">
        <f>估价对象房地状况!C20</f>
        <v>区域自然环境：官园公园、什刹海公园、北海公园；人文环境：妙应寺白塔、恭王府、历代帝王庙、梅兰芳纪念馆、西直门天主教堂、西城区图书馆；综合评价环境状况好。</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2" t="s">
        <v>1036</v>
      </c>
      <c r="B77" s="1849"/>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1037</v>
      </c>
      <c r="B78" s="2446">
        <f>1+E80</f>
        <v>1</v>
      </c>
      <c r="C78" s="2465"/>
      <c r="D78" s="2448"/>
      <c r="E78" s="2449"/>
      <c r="F78" s="2450"/>
      <c r="G78" s="2444"/>
      <c r="H78" s="2444"/>
      <c r="I78" s="2444"/>
      <c r="J78" s="1063"/>
      <c r="K78" s="1063"/>
      <c r="L78" s="1063"/>
      <c r="M78" s="1063"/>
      <c r="N78" s="1063"/>
      <c r="AC78" s="1403"/>
      <c r="AD78" s="1402"/>
      <c r="AJ78" s="1401"/>
      <c r="AN78" s="1402"/>
    </row>
    <row r="79" spans="1:40" ht="24">
      <c r="A79" s="1064" t="s">
        <v>1009</v>
      </c>
      <c r="B79" s="2431"/>
      <c r="C79" s="2451" t="s">
        <v>1011</v>
      </c>
      <c r="D79" s="2452" t="s">
        <v>1012</v>
      </c>
      <c r="E79" s="2453" t="s">
        <v>1014</v>
      </c>
      <c r="F79" s="2454" t="s">
        <v>2256</v>
      </c>
      <c r="G79" s="2452" t="s">
        <v>1015</v>
      </c>
      <c r="H79" s="2436" t="s">
        <v>2422</v>
      </c>
      <c r="I79" s="2452" t="s">
        <v>1013</v>
      </c>
      <c r="J79" s="2455" t="s">
        <v>1016</v>
      </c>
      <c r="K79" s="2455" t="s">
        <v>1017</v>
      </c>
      <c r="L79" s="2455" t="s">
        <v>1018</v>
      </c>
      <c r="M79" s="2455" t="s">
        <v>1019</v>
      </c>
      <c r="N79" s="2455" t="s">
        <v>1020</v>
      </c>
      <c r="AC79" s="1403"/>
      <c r="AD79" s="1402"/>
      <c r="AJ79" s="1401"/>
      <c r="AN79" s="1402"/>
    </row>
    <row r="80" spans="1:40" ht="36">
      <c r="A80" s="1064" t="s">
        <v>1038</v>
      </c>
      <c r="B80" s="2431"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7"/>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4" t="s">
        <v>1034</v>
      </c>
      <c r="B81" s="2431" t="str">
        <f>估价对象房地状况!G16</f>
        <v>估价对象周边道路状况、公共交通通达情况、停车便捷程度，综合评价交通便捷度较好</v>
      </c>
      <c r="C81" s="1048"/>
      <c r="D81" s="2438">
        <f t="shared" si="25"/>
        <v>0</v>
      </c>
      <c r="E81" s="2466"/>
      <c r="F81" s="2467"/>
      <c r="G81" s="2437"/>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4" t="s">
        <v>1023</v>
      </c>
      <c r="B82" s="2431">
        <f>估价对象房地状况!G17</f>
        <v>0</v>
      </c>
      <c r="C82" s="1048"/>
      <c r="D82" s="2438">
        <f t="shared" si="25"/>
        <v>0</v>
      </c>
      <c r="E82" s="2466"/>
      <c r="F82" s="2467"/>
      <c r="G82" s="2437"/>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4" t="s">
        <v>1035</v>
      </c>
      <c r="B83" s="2431">
        <f>估价对象房地状况!G22</f>
        <v>0</v>
      </c>
      <c r="C83" s="1048"/>
      <c r="D83" s="2438">
        <f t="shared" si="25"/>
        <v>0</v>
      </c>
      <c r="E83" s="2466"/>
      <c r="F83" s="2467"/>
      <c r="G83" s="2437"/>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4" t="s">
        <v>1027</v>
      </c>
      <c r="B84" s="2432" t="str">
        <f>估价对象房地状况!G19</f>
        <v>估价对象所在区域公共配套设施齐备情况</v>
      </c>
      <c r="C84" s="1048"/>
      <c r="D84" s="2438">
        <f t="shared" si="25"/>
        <v>0</v>
      </c>
      <c r="E84" s="2466"/>
      <c r="F84" s="2467"/>
      <c r="G84" s="2437"/>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4" t="s">
        <v>1028</v>
      </c>
      <c r="B85" s="2432" t="str">
        <f>估价对象房地状况!G20</f>
        <v>估价对象所在区域基础设施水平</v>
      </c>
      <c r="C85" s="1048"/>
      <c r="D85" s="2438">
        <f t="shared" si="25"/>
        <v>0</v>
      </c>
      <c r="E85" s="2466"/>
      <c r="F85" s="2467"/>
      <c r="G85" s="2437"/>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4" t="s">
        <v>1026</v>
      </c>
      <c r="B86" s="3116" t="s">
        <v>2937</v>
      </c>
      <c r="C86" s="1048"/>
      <c r="D86" s="2438">
        <f t="shared" si="25"/>
        <v>0</v>
      </c>
      <c r="E86" s="2466"/>
      <c r="F86" s="2467"/>
      <c r="G86" s="2437"/>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1039</v>
      </c>
      <c r="B87" s="2433" t="str">
        <f>估价对象房地状况!G18</f>
        <v>该园区内是否有污染型企业，绿化情况，卫生条件，整体环境状况判断</v>
      </c>
      <c r="C87" s="1048"/>
      <c r="D87" s="2438">
        <f t="shared" si="25"/>
        <v>0</v>
      </c>
      <c r="E87" s="2468"/>
      <c r="F87" s="2467"/>
      <c r="G87" s="2437"/>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676" t="s">
        <v>1634</v>
      </c>
      <c r="B90" s="3676"/>
      <c r="C90" s="3676"/>
      <c r="D90" s="3676"/>
      <c r="E90" s="3676"/>
      <c r="F90" s="3676"/>
      <c r="G90" s="3676"/>
      <c r="H90" s="3676"/>
      <c r="I90" s="3676"/>
      <c r="J90" s="3676"/>
      <c r="K90" s="2471"/>
      <c r="L90" s="2471"/>
      <c r="M90" s="2471"/>
      <c r="N90" s="2471"/>
    </row>
    <row r="91" spans="1:40">
      <c r="A91" s="3677" t="s">
        <v>1444</v>
      </c>
      <c r="B91" s="3677" t="s">
        <v>1635</v>
      </c>
      <c r="C91" s="1137" t="s">
        <v>1636</v>
      </c>
      <c r="D91" s="1138"/>
      <c r="E91" s="1138"/>
      <c r="F91" s="1138"/>
      <c r="G91" s="1138"/>
      <c r="H91" s="1138"/>
      <c r="I91" s="1138"/>
      <c r="J91" s="1139"/>
      <c r="K91" s="1131"/>
      <c r="L91" s="1131"/>
      <c r="M91" s="1131"/>
      <c r="N91" s="1131"/>
    </row>
    <row r="92" spans="1:40">
      <c r="A92" s="3677"/>
      <c r="B92" s="3677"/>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666"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66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66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66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66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66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667"/>
      <c r="B99" s="1140" t="s">
        <v>1637</v>
      </c>
      <c r="C99" s="1142">
        <f>$I$3</f>
        <v>0</v>
      </c>
      <c r="D99" s="1142">
        <f t="shared" ref="D99:N99" si="30">$I$3</f>
        <v>0</v>
      </c>
      <c r="E99" s="1142">
        <f t="shared" si="30"/>
        <v>0</v>
      </c>
      <c r="F99" s="1142">
        <f t="shared" si="30"/>
        <v>0</v>
      </c>
      <c r="G99" s="1142">
        <f t="shared" si="30"/>
        <v>0</v>
      </c>
      <c r="H99" s="1142">
        <f t="shared" si="30"/>
        <v>0</v>
      </c>
      <c r="I99" s="1142">
        <f t="shared" si="30"/>
        <v>0</v>
      </c>
      <c r="J99" s="1142">
        <f t="shared" si="30"/>
        <v>0</v>
      </c>
      <c r="K99" s="1142">
        <f t="shared" si="30"/>
        <v>0</v>
      </c>
      <c r="L99" s="1142">
        <f t="shared" si="30"/>
        <v>0</v>
      </c>
      <c r="M99" s="1142">
        <f t="shared" si="30"/>
        <v>0</v>
      </c>
      <c r="N99" s="1142">
        <f t="shared" si="30"/>
        <v>0</v>
      </c>
    </row>
    <row r="100" spans="1:14">
      <c r="A100" s="3668"/>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666" t="s">
        <v>1638</v>
      </c>
      <c r="B101" s="1144" t="s">
        <v>906</v>
      </c>
      <c r="C101" s="1145">
        <f>$G$3</f>
        <v>3.5</v>
      </c>
      <c r="D101" s="1145">
        <f t="shared" ref="D101:N101" si="31">$G$3</f>
        <v>3.5</v>
      </c>
      <c r="E101" s="1145">
        <f t="shared" si="31"/>
        <v>3.5</v>
      </c>
      <c r="F101" s="1145">
        <f t="shared" si="31"/>
        <v>3.5</v>
      </c>
      <c r="G101" s="1145">
        <f t="shared" si="31"/>
        <v>3.5</v>
      </c>
      <c r="H101" s="1145">
        <f t="shared" si="31"/>
        <v>3.5</v>
      </c>
      <c r="I101" s="1145">
        <f t="shared" si="31"/>
        <v>3.5</v>
      </c>
      <c r="J101" s="1145">
        <f t="shared" si="31"/>
        <v>3.5</v>
      </c>
      <c r="K101" s="1145">
        <f t="shared" si="31"/>
        <v>3.5</v>
      </c>
      <c r="L101" s="1145">
        <f t="shared" si="31"/>
        <v>3.5</v>
      </c>
      <c r="M101" s="1145">
        <f t="shared" si="31"/>
        <v>3.5</v>
      </c>
      <c r="N101" s="1145">
        <f t="shared" si="31"/>
        <v>3.5</v>
      </c>
    </row>
    <row r="102" spans="1:14">
      <c r="A102" s="3667"/>
      <c r="B102" s="1140">
        <v>1</v>
      </c>
      <c r="C102" s="1141">
        <f>1.9362/C101</f>
        <v>0.55320000000000003</v>
      </c>
      <c r="D102" s="1141">
        <f>1.9362/D101</f>
        <v>0.55320000000000003</v>
      </c>
      <c r="E102" s="1141">
        <f>1.8629/E101</f>
        <v>0.53225714285714287</v>
      </c>
      <c r="F102" s="1141">
        <f>1.8629/F101</f>
        <v>0.53225714285714287</v>
      </c>
      <c r="G102" s="1141">
        <f>1.8629/G101</f>
        <v>0.53225714285714287</v>
      </c>
      <c r="H102" s="1141">
        <f>1.8629/H101</f>
        <v>0.53225714285714287</v>
      </c>
      <c r="I102" s="1141">
        <f>1.8629/I101</f>
        <v>0.53225714285714287</v>
      </c>
      <c r="J102" s="1141">
        <f>1.942/J101</f>
        <v>0.55485714285714283</v>
      </c>
      <c r="K102" s="1141">
        <f>1.942/K101</f>
        <v>0.55485714285714283</v>
      </c>
      <c r="L102" s="1141">
        <f>1.942/L101</f>
        <v>0.55485714285714283</v>
      </c>
      <c r="M102" s="1141">
        <f>1.942/M101</f>
        <v>0.55485714285714283</v>
      </c>
      <c r="N102" s="1141">
        <f>1.942/N101</f>
        <v>0.55485714285714283</v>
      </c>
    </row>
    <row r="103" spans="1:14">
      <c r="A103" s="3667"/>
      <c r="B103" s="1140">
        <v>2</v>
      </c>
      <c r="C103" s="1141">
        <f>1.4198/C101</f>
        <v>0.40565714285714283</v>
      </c>
      <c r="D103" s="1141">
        <f>1.4198/D101</f>
        <v>0.40565714285714283</v>
      </c>
      <c r="E103" s="1141">
        <f>1.3372/E101</f>
        <v>0.38205714285714282</v>
      </c>
      <c r="F103" s="1141">
        <f>1.3372/F101</f>
        <v>0.38205714285714282</v>
      </c>
      <c r="G103" s="1141">
        <f>1.3372/G101</f>
        <v>0.38205714285714282</v>
      </c>
      <c r="H103" s="1141">
        <f>1.3372/H101</f>
        <v>0.38205714285714282</v>
      </c>
      <c r="I103" s="1141">
        <f>1.3372/I101</f>
        <v>0.38205714285714282</v>
      </c>
      <c r="J103" s="1141">
        <f>1.2799/J101</f>
        <v>0.36568571428571428</v>
      </c>
      <c r="K103" s="1141">
        <f>1.2799/K101</f>
        <v>0.36568571428571428</v>
      </c>
      <c r="L103" s="1141">
        <f>1.2799/L101</f>
        <v>0.36568571428571428</v>
      </c>
      <c r="M103" s="1141">
        <f>1.2799/M101</f>
        <v>0.36568571428571428</v>
      </c>
      <c r="N103" s="1141">
        <f>1.2799/N101</f>
        <v>0.36568571428571428</v>
      </c>
    </row>
    <row r="104" spans="1:14">
      <c r="A104" s="3667"/>
      <c r="B104" s="1140">
        <v>3</v>
      </c>
      <c r="C104" s="1141">
        <f>1.1594/C101</f>
        <v>0.33125714285714286</v>
      </c>
      <c r="D104" s="1141">
        <f>1.1594/D101</f>
        <v>0.33125714285714286</v>
      </c>
      <c r="E104" s="1141">
        <f>1.0788/E101</f>
        <v>0.30822857142857141</v>
      </c>
      <c r="F104" s="1141">
        <f>1.0788/F101</f>
        <v>0.30822857142857141</v>
      </c>
      <c r="G104" s="1141">
        <f>1.0788/G101</f>
        <v>0.30822857142857141</v>
      </c>
      <c r="H104" s="1141">
        <f>1.0788/H101</f>
        <v>0.30822857142857141</v>
      </c>
      <c r="I104" s="1141">
        <f>1.0788/I101</f>
        <v>0.30822857142857141</v>
      </c>
      <c r="J104" s="1141">
        <f>1.0072/J101</f>
        <v>0.28777142857142862</v>
      </c>
      <c r="K104" s="1141">
        <f>1.0072/K101</f>
        <v>0.28777142857142862</v>
      </c>
      <c r="L104" s="1141">
        <f>1.0072/L101</f>
        <v>0.28777142857142862</v>
      </c>
      <c r="M104" s="1141">
        <f>1.0072/M101</f>
        <v>0.28777142857142862</v>
      </c>
      <c r="N104" s="1141">
        <f>1.0072/N101</f>
        <v>0.28777142857142862</v>
      </c>
    </row>
    <row r="105" spans="1:14">
      <c r="A105" s="3667"/>
      <c r="B105" s="1140">
        <v>4</v>
      </c>
      <c r="C105" s="1141">
        <f>0.9622/C101</f>
        <v>0.27491428571428572</v>
      </c>
      <c r="D105" s="1141">
        <f>0.9622/D101</f>
        <v>0.27491428571428572</v>
      </c>
      <c r="E105" s="1141">
        <f>0.8656/E101</f>
        <v>0.24731428571428574</v>
      </c>
      <c r="F105" s="1141">
        <f>0.8656/F101</f>
        <v>0.24731428571428574</v>
      </c>
      <c r="G105" s="1141">
        <f>0.8656/G101</f>
        <v>0.24731428571428574</v>
      </c>
      <c r="H105" s="1141">
        <f>0.8656/H101</f>
        <v>0.24731428571428574</v>
      </c>
      <c r="I105" s="1141">
        <f>0.8656/I101</f>
        <v>0.24731428571428574</v>
      </c>
      <c r="J105" s="1141">
        <f>0.7525/J101</f>
        <v>0.215</v>
      </c>
      <c r="K105" s="1141">
        <f>0.7525/K101</f>
        <v>0.215</v>
      </c>
      <c r="L105" s="1141">
        <f>0.7525/L101</f>
        <v>0.215</v>
      </c>
      <c r="M105" s="1141">
        <f>0.7525/M101</f>
        <v>0.215</v>
      </c>
      <c r="N105" s="1141">
        <f>0.7525/N101</f>
        <v>0.215</v>
      </c>
    </row>
    <row r="106" spans="1:14">
      <c r="A106" s="3667"/>
      <c r="B106" s="1140">
        <v>5</v>
      </c>
      <c r="C106" s="1141">
        <f>0.8417/C101</f>
        <v>0.24048571428571427</v>
      </c>
      <c r="D106" s="1141">
        <f>0.8417/D101</f>
        <v>0.24048571428571427</v>
      </c>
      <c r="E106" s="1141">
        <f>0.7371/E101</f>
        <v>0.21059999999999998</v>
      </c>
      <c r="F106" s="1141">
        <f>0.7371/F101</f>
        <v>0.21059999999999998</v>
      </c>
      <c r="G106" s="1141">
        <f>0.7371/G101</f>
        <v>0.21059999999999998</v>
      </c>
      <c r="H106" s="1141">
        <f>0.7371/H101</f>
        <v>0.21059999999999998</v>
      </c>
      <c r="I106" s="1141">
        <f>0.7371/I101</f>
        <v>0.21059999999999998</v>
      </c>
      <c r="J106" s="1141">
        <f>0.5659/J101</f>
        <v>0.16168571428571427</v>
      </c>
      <c r="K106" s="1141">
        <f>0.5659/K101</f>
        <v>0.16168571428571427</v>
      </c>
      <c r="L106" s="1141">
        <f>0.5659/L101</f>
        <v>0.16168571428571427</v>
      </c>
      <c r="M106" s="1141">
        <f>0.5659/M101</f>
        <v>0.16168571428571427</v>
      </c>
      <c r="N106" s="1141">
        <f>0.5659/N101</f>
        <v>0.16168571428571427</v>
      </c>
    </row>
    <row r="107" spans="1:14">
      <c r="A107" s="3667"/>
      <c r="B107" s="1140">
        <v>6</v>
      </c>
      <c r="C107" s="1141">
        <f>0.7608/C101</f>
        <v>0.21737142857142858</v>
      </c>
      <c r="D107" s="1141">
        <f>0.7608/D101</f>
        <v>0.21737142857142858</v>
      </c>
      <c r="E107" s="1141">
        <f>0.6482/E101</f>
        <v>0.1852</v>
      </c>
      <c r="F107" s="1141">
        <f>0.6482/F101</f>
        <v>0.1852</v>
      </c>
      <c r="G107" s="1141">
        <f>0.6482/G101</f>
        <v>0.1852</v>
      </c>
      <c r="H107" s="1141">
        <f>0.6482/H101</f>
        <v>0.1852</v>
      </c>
      <c r="I107" s="1141">
        <f>0.6482/I101</f>
        <v>0.1852</v>
      </c>
      <c r="J107" s="1141">
        <f>0.4525/J101</f>
        <v>0.12928571428571428</v>
      </c>
      <c r="K107" s="1141">
        <f>0.4525/K101</f>
        <v>0.12928571428571428</v>
      </c>
      <c r="L107" s="1141">
        <f>0.4525/L101</f>
        <v>0.12928571428571428</v>
      </c>
      <c r="M107" s="1141">
        <f>0.4525/M101</f>
        <v>0.12928571428571428</v>
      </c>
      <c r="N107" s="1141">
        <f>0.4525/N101</f>
        <v>0.12928571428571428</v>
      </c>
    </row>
    <row r="108" spans="1:14">
      <c r="A108" s="3667"/>
      <c r="B108" s="3669" t="s">
        <v>1639</v>
      </c>
      <c r="C108" s="1142">
        <f>C99</f>
        <v>0</v>
      </c>
      <c r="D108" s="1142">
        <f t="shared" ref="D108:N108" si="32">D99</f>
        <v>0</v>
      </c>
      <c r="E108" s="1142">
        <f t="shared" si="32"/>
        <v>0</v>
      </c>
      <c r="F108" s="1142">
        <f t="shared" si="32"/>
        <v>0</v>
      </c>
      <c r="G108" s="1142">
        <f t="shared" si="32"/>
        <v>0</v>
      </c>
      <c r="H108" s="1142">
        <f t="shared" si="32"/>
        <v>0</v>
      </c>
      <c r="I108" s="1142">
        <f t="shared" si="32"/>
        <v>0</v>
      </c>
      <c r="J108" s="1142">
        <f t="shared" si="32"/>
        <v>0</v>
      </c>
      <c r="K108" s="1142">
        <f t="shared" si="32"/>
        <v>0</v>
      </c>
      <c r="L108" s="1142">
        <f t="shared" si="32"/>
        <v>0</v>
      </c>
      <c r="M108" s="1142">
        <f t="shared" si="32"/>
        <v>0</v>
      </c>
      <c r="N108" s="1142">
        <f t="shared" si="32"/>
        <v>0</v>
      </c>
    </row>
    <row r="109" spans="1:14">
      <c r="A109" s="3668"/>
      <c r="B109" s="3670"/>
      <c r="C109" s="1143">
        <f>(-0.163*(C108^2)-0.59*C108+7617)*(10^(-4))/C101</f>
        <v>0.21762857142857145</v>
      </c>
      <c r="D109" s="1143">
        <f>(-0.163*(D108^2)-0.59*D108+7617)*(10^(-4))/D101</f>
        <v>0.21762857142857145</v>
      </c>
      <c r="E109" s="1143">
        <f>(-0.161*(E108^2)-7.509*E108+6533)*(10^(-4))/E101</f>
        <v>0.18665714285714285</v>
      </c>
      <c r="F109" s="1143">
        <f>(-0.161*(F108^2)-7.509*F108+6533)*(10^(-4))/F101</f>
        <v>0.18665714285714285</v>
      </c>
      <c r="G109" s="1143">
        <f>(-0.161*(G108^2)-7.509*G108+6533)*(10^(-4))/G101</f>
        <v>0.18665714285714285</v>
      </c>
      <c r="H109" s="1143">
        <f>(-0.161*(H108^2)-7.509*H108+6533)*(10^(-4))/H101</f>
        <v>0.18665714285714285</v>
      </c>
      <c r="I109" s="1143">
        <f>(-0.161*(I108^2)-7.509*I108+6533)*(10^(-4))/I101</f>
        <v>0.18665714285714285</v>
      </c>
      <c r="J109" s="1143">
        <f>(-0.214*(J108^2)-21.991*J108+4665)*(10^(-4))/J101</f>
        <v>0.13328571428571429</v>
      </c>
      <c r="K109" s="1143">
        <f>(-0.214*(K108^2)-21.991*K108+4665)*(10^(-4))/K101</f>
        <v>0.13328571428571429</v>
      </c>
      <c r="L109" s="1143">
        <f>(-0.214*(L108^2)-21.991*L108+4665)*(10^(-4))/L101</f>
        <v>0.13328571428571429</v>
      </c>
      <c r="M109" s="1143">
        <f>(-0.214*(M108^2)-21.991*M108+4665)*(10^(-4))/M101</f>
        <v>0.13328571428571429</v>
      </c>
      <c r="N109" s="1143">
        <f>(-0.214*(N108^2)-21.991*N108+4665)*(10^(-4))/N101</f>
        <v>0.13328571428571429</v>
      </c>
    </row>
    <row r="110" spans="1:14">
      <c r="A110" s="3671" t="s">
        <v>1640</v>
      </c>
      <c r="B110" s="3671"/>
      <c r="C110" s="3671"/>
      <c r="D110" s="3671"/>
      <c r="E110" s="3671"/>
      <c r="F110" s="3671"/>
      <c r="G110" s="3671"/>
      <c r="H110" s="3671"/>
      <c r="I110" s="3671"/>
      <c r="J110" s="3671"/>
      <c r="K110" s="2469"/>
      <c r="L110" s="2469"/>
      <c r="M110" s="2469"/>
      <c r="N110" s="2469"/>
    </row>
    <row r="112" spans="1:14" ht="12.75" thickBot="1"/>
    <row r="113" spans="1:13" ht="25.5" thickBot="1">
      <c r="A113" s="1014" t="s">
        <v>896</v>
      </c>
      <c r="B113" s="2472">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677" t="s">
        <v>1008</v>
      </c>
      <c r="B18" s="1151" t="s">
        <v>1447</v>
      </c>
      <c r="C18" s="1128" t="s">
        <v>1448</v>
      </c>
      <c r="D18" s="1129"/>
      <c r="E18" s="1151">
        <v>1</v>
      </c>
      <c r="F18" s="1130" t="s">
        <v>1449</v>
      </c>
      <c r="G18" s="1131"/>
      <c r="H18" s="1102"/>
      <c r="I18" s="1102"/>
    </row>
    <row r="19" spans="1:9" s="1597" customFormat="1" ht="19.5" customHeight="1">
      <c r="A19" s="3677"/>
      <c r="B19" s="3677" t="s">
        <v>1450</v>
      </c>
      <c r="C19" s="1128" t="s">
        <v>1451</v>
      </c>
      <c r="D19" s="1129"/>
      <c r="E19" s="1151">
        <v>0.9</v>
      </c>
      <c r="F19" s="1130" t="s">
        <v>1452</v>
      </c>
      <c r="G19" s="1131"/>
      <c r="H19" s="1102"/>
      <c r="I19" s="1102"/>
    </row>
    <row r="20" spans="1:9" s="1597" customFormat="1" ht="19.5" customHeight="1">
      <c r="A20" s="3677"/>
      <c r="B20" s="3677"/>
      <c r="C20" s="1128" t="s">
        <v>1453</v>
      </c>
      <c r="D20" s="1129"/>
      <c r="E20" s="1151">
        <v>1.1000000000000001</v>
      </c>
      <c r="F20" s="1130" t="s">
        <v>1454</v>
      </c>
      <c r="G20" s="1131"/>
      <c r="H20" s="1102"/>
      <c r="I20" s="1102"/>
    </row>
    <row r="21" spans="1:9" s="1597" customFormat="1" ht="19.5" customHeight="1">
      <c r="A21" s="3677"/>
      <c r="B21" s="3677"/>
      <c r="C21" s="1128" t="s">
        <v>1455</v>
      </c>
      <c r="D21" s="1129"/>
      <c r="E21" s="1151">
        <v>0.8</v>
      </c>
      <c r="F21" s="1130" t="s">
        <v>1456</v>
      </c>
      <c r="G21" s="1131"/>
      <c r="H21" s="1102"/>
      <c r="I21" s="1102"/>
    </row>
    <row r="22" spans="1:9" s="1597" customFormat="1" ht="19.5" customHeight="1">
      <c r="A22" s="3677"/>
      <c r="B22" s="3677"/>
      <c r="C22" s="1128" t="s">
        <v>1457</v>
      </c>
      <c r="D22" s="1129"/>
      <c r="E22" s="1151">
        <v>0.5</v>
      </c>
      <c r="F22" s="1130"/>
      <c r="G22" s="1131"/>
      <c r="H22" s="1102"/>
      <c r="I22" s="1102"/>
    </row>
    <row r="23" spans="1:9" s="1597" customFormat="1" ht="19.5" customHeight="1">
      <c r="A23" s="3677" t="s">
        <v>1030</v>
      </c>
      <c r="B23" s="1151" t="s">
        <v>1447</v>
      </c>
      <c r="C23" s="1128" t="s">
        <v>1458</v>
      </c>
      <c r="D23" s="1129"/>
      <c r="E23" s="1151">
        <v>1</v>
      </c>
      <c r="F23" s="1130" t="s">
        <v>1459</v>
      </c>
      <c r="G23" s="1131"/>
      <c r="H23" s="1102"/>
      <c r="I23" s="1102"/>
    </row>
    <row r="24" spans="1:9" s="1597" customFormat="1" ht="19.5" customHeight="1">
      <c r="A24" s="3677"/>
      <c r="B24" s="3677" t="s">
        <v>1450</v>
      </c>
      <c r="C24" s="1128" t="s">
        <v>1460</v>
      </c>
      <c r="D24" s="1129"/>
      <c r="E24" s="1151">
        <v>0.5</v>
      </c>
      <c r="F24" s="1130"/>
      <c r="G24" s="1131"/>
      <c r="H24" s="1102"/>
      <c r="I24" s="1102"/>
    </row>
    <row r="25" spans="1:9" s="1597" customFormat="1" ht="19.5" customHeight="1">
      <c r="A25" s="3677"/>
      <c r="B25" s="3677"/>
      <c r="C25" s="1128" t="s">
        <v>1461</v>
      </c>
      <c r="D25" s="1129"/>
      <c r="E25" s="1151">
        <v>1.1000000000000001</v>
      </c>
      <c r="F25" s="1130"/>
      <c r="G25" s="1131"/>
      <c r="H25" s="1102"/>
      <c r="I25" s="1102"/>
    </row>
    <row r="26" spans="1:9" s="1597" customFormat="1" ht="19.5" customHeight="1">
      <c r="A26" s="3677"/>
      <c r="B26" s="3677"/>
      <c r="C26" s="1128" t="s">
        <v>1462</v>
      </c>
      <c r="D26" s="1129"/>
      <c r="E26" s="1151">
        <v>1.1000000000000001</v>
      </c>
      <c r="F26" s="1130"/>
      <c r="G26" s="1131"/>
      <c r="H26" s="1102"/>
      <c r="I26" s="1102"/>
    </row>
    <row r="27" spans="1:9" s="1597" customFormat="1" ht="19.5" customHeight="1">
      <c r="A27" s="3677"/>
      <c r="B27" s="3677"/>
      <c r="C27" s="1128" t="s">
        <v>1463</v>
      </c>
      <c r="D27" s="1129"/>
      <c r="E27" s="1151">
        <v>0.9</v>
      </c>
      <c r="F27" s="1130" t="s">
        <v>1464</v>
      </c>
      <c r="G27" s="1131"/>
      <c r="H27" s="1102"/>
      <c r="I27" s="1102"/>
    </row>
    <row r="28" spans="1:9" s="1597" customFormat="1" ht="19.5" customHeight="1">
      <c r="A28" s="3677"/>
      <c r="B28" s="3677"/>
      <c r="C28" s="1128" t="s">
        <v>1465</v>
      </c>
      <c r="D28" s="1129"/>
      <c r="E28" s="1151">
        <v>0.9</v>
      </c>
      <c r="F28" s="1130" t="s">
        <v>1466</v>
      </c>
      <c r="G28" s="1131"/>
      <c r="H28" s="1102"/>
      <c r="I28" s="1102"/>
    </row>
    <row r="29" spans="1:9" s="1597" customFormat="1" ht="19.5" customHeight="1">
      <c r="A29" s="3677"/>
      <c r="B29" s="3677"/>
      <c r="C29" s="1128" t="s">
        <v>1467</v>
      </c>
      <c r="D29" s="1129"/>
      <c r="E29" s="1151">
        <v>0.9</v>
      </c>
      <c r="F29" s="1130" t="s">
        <v>1468</v>
      </c>
      <c r="G29" s="1131"/>
      <c r="H29" s="1102"/>
      <c r="I29" s="1102"/>
    </row>
    <row r="30" spans="1:9" s="1597" customFormat="1" ht="19.5" customHeight="1">
      <c r="A30" s="3677"/>
      <c r="B30" s="3677"/>
      <c r="C30" s="1128" t="s">
        <v>1469</v>
      </c>
      <c r="D30" s="1129"/>
      <c r="E30" s="1151">
        <v>0.9</v>
      </c>
      <c r="F30" s="1130" t="s">
        <v>1470</v>
      </c>
      <c r="G30" s="1131"/>
      <c r="H30" s="1102"/>
      <c r="I30" s="1102"/>
    </row>
    <row r="31" spans="1:9" s="1597" customFormat="1" ht="19.5" customHeight="1">
      <c r="A31" s="3677"/>
      <c r="B31" s="3677"/>
      <c r="C31" s="1128" t="s">
        <v>1471</v>
      </c>
      <c r="D31" s="1129"/>
      <c r="E31" s="1151">
        <v>0.8</v>
      </c>
      <c r="F31" s="1130" t="s">
        <v>1472</v>
      </c>
      <c r="G31" s="1131"/>
      <c r="H31" s="1102"/>
      <c r="I31" s="1102"/>
    </row>
    <row r="32" spans="1:9" s="1597" customFormat="1" ht="19.5" customHeight="1">
      <c r="A32" s="3677"/>
      <c r="B32" s="3677"/>
      <c r="C32" s="1128" t="s">
        <v>1473</v>
      </c>
      <c r="D32" s="1129"/>
      <c r="E32" s="1151">
        <v>0.8</v>
      </c>
      <c r="F32" s="1130" t="s">
        <v>1474</v>
      </c>
      <c r="G32" s="1131"/>
      <c r="H32" s="1102"/>
      <c r="I32" s="1102"/>
    </row>
    <row r="33" spans="1:9" s="1597" customFormat="1" ht="19.5" customHeight="1">
      <c r="A33" s="3677" t="s">
        <v>1475</v>
      </c>
      <c r="B33" s="1151" t="s">
        <v>1447</v>
      </c>
      <c r="C33" s="1128" t="s">
        <v>1476</v>
      </c>
      <c r="D33" s="1129"/>
      <c r="E33" s="1151">
        <v>1</v>
      </c>
      <c r="F33" s="1130" t="s">
        <v>1477</v>
      </c>
      <c r="G33" s="1131"/>
      <c r="H33" s="1102"/>
      <c r="I33" s="1102"/>
    </row>
    <row r="34" spans="1:9" s="1597" customFormat="1" ht="19.5" customHeight="1">
      <c r="A34" s="3677"/>
      <c r="B34" s="1151" t="s">
        <v>1450</v>
      </c>
      <c r="C34" s="1128" t="s">
        <v>1478</v>
      </c>
      <c r="D34" s="1129"/>
      <c r="E34" s="1151">
        <v>1.5</v>
      </c>
      <c r="F34" s="1130" t="s">
        <v>1479</v>
      </c>
      <c r="G34" s="1131"/>
      <c r="H34" s="1102"/>
      <c r="I34" s="1102"/>
    </row>
    <row r="35" spans="1:9" s="1597" customFormat="1" ht="19.5" customHeight="1">
      <c r="A35" s="3677" t="s">
        <v>1433</v>
      </c>
      <c r="B35" s="1151" t="s">
        <v>1447</v>
      </c>
      <c r="C35" s="1128" t="s">
        <v>1480</v>
      </c>
      <c r="D35" s="1129"/>
      <c r="E35" s="1151">
        <v>1</v>
      </c>
      <c r="F35" s="1130" t="s">
        <v>1481</v>
      </c>
      <c r="G35" s="1131"/>
      <c r="H35" s="1102"/>
      <c r="I35" s="1102"/>
    </row>
    <row r="36" spans="1:9" s="1597" customFormat="1" ht="19.5" customHeight="1">
      <c r="A36" s="3677"/>
      <c r="B36" s="3677" t="s">
        <v>1450</v>
      </c>
      <c r="C36" s="1128" t="s">
        <v>1482</v>
      </c>
      <c r="D36" s="1129"/>
      <c r="E36" s="1151">
        <v>1</v>
      </c>
      <c r="F36" s="1130" t="s">
        <v>1483</v>
      </c>
      <c r="G36" s="1131"/>
      <c r="H36" s="1102"/>
      <c r="I36" s="1102"/>
    </row>
    <row r="37" spans="1:9" s="1597" customFormat="1" ht="19.5" customHeight="1">
      <c r="A37" s="3677"/>
      <c r="B37" s="3677"/>
      <c r="C37" s="1128" t="s">
        <v>1484</v>
      </c>
      <c r="D37" s="1129"/>
      <c r="E37" s="1151">
        <v>1.5</v>
      </c>
      <c r="F37" s="1130" t="s">
        <v>1485</v>
      </c>
      <c r="G37" s="1131"/>
      <c r="H37" s="1102"/>
      <c r="I37" s="1102"/>
    </row>
    <row r="38" spans="1:9" s="1597" customFormat="1" ht="19.5" customHeight="1">
      <c r="A38" s="3677"/>
      <c r="B38" s="3677"/>
      <c r="C38" s="1128" t="s">
        <v>1486</v>
      </c>
      <c r="D38" s="1129"/>
      <c r="E38" s="1151">
        <v>1</v>
      </c>
      <c r="F38" s="1130" t="s">
        <v>1487</v>
      </c>
      <c r="G38" s="1131"/>
      <c r="H38" s="1102"/>
      <c r="I38" s="1102"/>
    </row>
    <row r="39" spans="1:9" s="1597" customFormat="1" ht="19.5" customHeight="1">
      <c r="A39" s="3677"/>
      <c r="B39" s="3677"/>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677" t="s">
        <v>1502</v>
      </c>
      <c r="C61" s="1065" t="s">
        <v>1503</v>
      </c>
      <c r="D61" s="1065" t="s">
        <v>1504</v>
      </c>
      <c r="E61" s="1136">
        <v>0.5</v>
      </c>
      <c r="F61" s="1151">
        <v>80</v>
      </c>
      <c r="H61" s="1102">
        <f>SUMIF(C59:C119,基准地价!C8,E59:E119)</f>
        <v>0</v>
      </c>
    </row>
    <row r="62" spans="1:8" s="1102" customFormat="1" ht="24">
      <c r="A62" s="1151">
        <v>2</v>
      </c>
      <c r="B62" s="3677"/>
      <c r="C62" s="1065" t="s">
        <v>1505</v>
      </c>
      <c r="D62" s="1065" t="s">
        <v>1506</v>
      </c>
      <c r="E62" s="1136">
        <v>0.5</v>
      </c>
      <c r="F62" s="1151">
        <v>80</v>
      </c>
    </row>
    <row r="63" spans="1:8" s="1102" customFormat="1" ht="36">
      <c r="A63" s="1151">
        <v>3</v>
      </c>
      <c r="B63" s="3677"/>
      <c r="C63" s="1065" t="s">
        <v>1507</v>
      </c>
      <c r="D63" s="1065" t="s">
        <v>1508</v>
      </c>
      <c r="E63" s="1136">
        <v>0.5</v>
      </c>
      <c r="F63" s="1151">
        <v>80</v>
      </c>
    </row>
    <row r="64" spans="1:8" s="1102" customFormat="1" ht="36">
      <c r="A64" s="1151">
        <v>4</v>
      </c>
      <c r="B64" s="3677"/>
      <c r="C64" s="1065" t="s">
        <v>1509</v>
      </c>
      <c r="D64" s="1065" t="s">
        <v>1510</v>
      </c>
      <c r="E64" s="1136">
        <v>0.4</v>
      </c>
      <c r="F64" s="1151">
        <v>60</v>
      </c>
    </row>
    <row r="65" spans="1:6" s="1102" customFormat="1" ht="36">
      <c r="A65" s="1151">
        <v>5</v>
      </c>
      <c r="B65" s="3677"/>
      <c r="C65" s="1065" t="s">
        <v>1511</v>
      </c>
      <c r="D65" s="1065" t="s">
        <v>1512</v>
      </c>
      <c r="E65" s="1136">
        <v>0.2</v>
      </c>
      <c r="F65" s="1151">
        <v>30</v>
      </c>
    </row>
    <row r="66" spans="1:6" s="1102" customFormat="1" ht="36">
      <c r="A66" s="1151">
        <v>6</v>
      </c>
      <c r="B66" s="3677"/>
      <c r="C66" s="1065" t="s">
        <v>1513</v>
      </c>
      <c r="D66" s="1065" t="s">
        <v>1514</v>
      </c>
      <c r="E66" s="1136">
        <v>0.3</v>
      </c>
      <c r="F66" s="1151">
        <v>50</v>
      </c>
    </row>
    <row r="67" spans="1:6" s="1102" customFormat="1" ht="36">
      <c r="A67" s="1151">
        <v>7</v>
      </c>
      <c r="B67" s="3677"/>
      <c r="C67" s="1065" t="s">
        <v>1515</v>
      </c>
      <c r="D67" s="1065" t="s">
        <v>1516</v>
      </c>
      <c r="E67" s="1136">
        <v>0.2</v>
      </c>
      <c r="F67" s="1151">
        <v>30</v>
      </c>
    </row>
    <row r="68" spans="1:6" s="1102" customFormat="1" ht="36">
      <c r="A68" s="1151">
        <v>8</v>
      </c>
      <c r="B68" s="3677"/>
      <c r="C68" s="1065" t="s">
        <v>1517</v>
      </c>
      <c r="D68" s="1065" t="s">
        <v>1518</v>
      </c>
      <c r="E68" s="1136">
        <v>0.2</v>
      </c>
      <c r="F68" s="1151">
        <v>30</v>
      </c>
    </row>
    <row r="69" spans="1:6" s="1102" customFormat="1" ht="36">
      <c r="A69" s="1151">
        <v>9</v>
      </c>
      <c r="B69" s="3677"/>
      <c r="C69" s="1065" t="s">
        <v>1519</v>
      </c>
      <c r="D69" s="1065" t="s">
        <v>1520</v>
      </c>
      <c r="E69" s="1136">
        <v>0.2</v>
      </c>
      <c r="F69" s="1151">
        <v>30</v>
      </c>
    </row>
    <row r="70" spans="1:6" s="1102" customFormat="1" ht="48">
      <c r="A70" s="1151">
        <v>10</v>
      </c>
      <c r="B70" s="3677"/>
      <c r="C70" s="1065" t="s">
        <v>1521</v>
      </c>
      <c r="D70" s="1065" t="s">
        <v>1522</v>
      </c>
      <c r="E70" s="1136">
        <v>0.2</v>
      </c>
      <c r="F70" s="1151">
        <v>30</v>
      </c>
    </row>
    <row r="71" spans="1:6" s="1102" customFormat="1" ht="48">
      <c r="A71" s="1151">
        <v>11</v>
      </c>
      <c r="B71" s="3677"/>
      <c r="C71" s="1065" t="s">
        <v>1523</v>
      </c>
      <c r="D71" s="1065" t="s">
        <v>1524</v>
      </c>
      <c r="E71" s="1136">
        <v>0.2</v>
      </c>
      <c r="F71" s="1151">
        <v>30</v>
      </c>
    </row>
    <row r="72" spans="1:6" s="1102" customFormat="1" ht="36">
      <c r="A72" s="1151">
        <v>12</v>
      </c>
      <c r="B72" s="3677"/>
      <c r="C72" s="1065" t="s">
        <v>1525</v>
      </c>
      <c r="D72" s="1065" t="s">
        <v>1526</v>
      </c>
      <c r="E72" s="1136">
        <v>0.5</v>
      </c>
      <c r="F72" s="1151">
        <v>80</v>
      </c>
    </row>
    <row r="73" spans="1:6" s="1102" customFormat="1" ht="24">
      <c r="A73" s="1151">
        <v>13</v>
      </c>
      <c r="B73" s="3677"/>
      <c r="C73" s="1065" t="s">
        <v>1527</v>
      </c>
      <c r="D73" s="1065" t="s">
        <v>1528</v>
      </c>
      <c r="E73" s="1136">
        <v>0.4</v>
      </c>
      <c r="F73" s="1151">
        <v>60</v>
      </c>
    </row>
    <row r="74" spans="1:6" s="1102" customFormat="1" ht="24">
      <c r="A74" s="1151">
        <v>14</v>
      </c>
      <c r="B74" s="3677"/>
      <c r="C74" s="1065" t="s">
        <v>1529</v>
      </c>
      <c r="D74" s="1065" t="s">
        <v>1530</v>
      </c>
      <c r="E74" s="1136">
        <v>0.2</v>
      </c>
      <c r="F74" s="1151">
        <v>30</v>
      </c>
    </row>
    <row r="75" spans="1:6" s="1102" customFormat="1" ht="24">
      <c r="A75" s="1151">
        <v>15</v>
      </c>
      <c r="B75" s="3677"/>
      <c r="C75" s="1065" t="s">
        <v>1531</v>
      </c>
      <c r="D75" s="1065" t="s">
        <v>1532</v>
      </c>
      <c r="E75" s="1136">
        <v>0.2</v>
      </c>
      <c r="F75" s="1151">
        <v>30</v>
      </c>
    </row>
    <row r="76" spans="1:6" s="1102" customFormat="1" ht="24">
      <c r="A76" s="1151">
        <v>16</v>
      </c>
      <c r="B76" s="3677" t="s">
        <v>1533</v>
      </c>
      <c r="C76" s="1065" t="s">
        <v>1534</v>
      </c>
      <c r="D76" s="1065" t="s">
        <v>1535</v>
      </c>
      <c r="E76" s="1136">
        <v>0.5</v>
      </c>
      <c r="F76" s="1151">
        <v>80</v>
      </c>
    </row>
    <row r="77" spans="1:6" s="1102" customFormat="1" ht="24">
      <c r="A77" s="1151">
        <v>17</v>
      </c>
      <c r="B77" s="3677"/>
      <c r="C77" s="1065" t="s">
        <v>1536</v>
      </c>
      <c r="D77" s="1065" t="s">
        <v>1537</v>
      </c>
      <c r="E77" s="1136">
        <v>0.5</v>
      </c>
      <c r="F77" s="1151">
        <v>80</v>
      </c>
    </row>
    <row r="78" spans="1:6" s="1102" customFormat="1" ht="24">
      <c r="A78" s="1151">
        <v>18</v>
      </c>
      <c r="B78" s="3677"/>
      <c r="C78" s="1065" t="s">
        <v>1538</v>
      </c>
      <c r="D78" s="1065" t="s">
        <v>1539</v>
      </c>
      <c r="E78" s="1136">
        <v>0.2</v>
      </c>
      <c r="F78" s="1151">
        <v>30</v>
      </c>
    </row>
    <row r="79" spans="1:6" s="1102" customFormat="1" ht="24">
      <c r="A79" s="1151">
        <v>19</v>
      </c>
      <c r="B79" s="3677"/>
      <c r="C79" s="1065" t="s">
        <v>1540</v>
      </c>
      <c r="D79" s="1065" t="s">
        <v>1541</v>
      </c>
      <c r="E79" s="1136">
        <v>0.5</v>
      </c>
      <c r="F79" s="1151">
        <v>80</v>
      </c>
    </row>
    <row r="80" spans="1:6" s="1102" customFormat="1" ht="36">
      <c r="A80" s="1151">
        <v>20</v>
      </c>
      <c r="B80" s="3677"/>
      <c r="C80" s="1065" t="s">
        <v>1542</v>
      </c>
      <c r="D80" s="1065" t="s">
        <v>1543</v>
      </c>
      <c r="E80" s="1136">
        <v>0.2</v>
      </c>
      <c r="F80" s="1151">
        <v>30</v>
      </c>
    </row>
    <row r="81" spans="1:6" s="1102" customFormat="1" ht="36">
      <c r="A81" s="1151">
        <v>21</v>
      </c>
      <c r="B81" s="3677"/>
      <c r="C81" s="1065" t="s">
        <v>1544</v>
      </c>
      <c r="D81" s="1065" t="s">
        <v>1545</v>
      </c>
      <c r="E81" s="1136">
        <v>0.2</v>
      </c>
      <c r="F81" s="1151">
        <v>30</v>
      </c>
    </row>
    <row r="82" spans="1:6" s="1102" customFormat="1" ht="48">
      <c r="A82" s="1151">
        <v>22</v>
      </c>
      <c r="B82" s="3677"/>
      <c r="C82" s="1065" t="s">
        <v>1546</v>
      </c>
      <c r="D82" s="1065" t="s">
        <v>1547</v>
      </c>
      <c r="E82" s="1136">
        <v>0.2</v>
      </c>
      <c r="F82" s="1151">
        <v>30</v>
      </c>
    </row>
    <row r="83" spans="1:6" s="1102" customFormat="1" ht="48">
      <c r="A83" s="1151">
        <v>23</v>
      </c>
      <c r="B83" s="3677"/>
      <c r="C83" s="1065" t="s">
        <v>1548</v>
      </c>
      <c r="D83" s="1065" t="s">
        <v>1549</v>
      </c>
      <c r="E83" s="1136">
        <v>0.2</v>
      </c>
      <c r="F83" s="1151">
        <v>30</v>
      </c>
    </row>
    <row r="84" spans="1:6" s="1102" customFormat="1" ht="36">
      <c r="A84" s="1151">
        <v>24</v>
      </c>
      <c r="B84" s="3677"/>
      <c r="C84" s="1065" t="s">
        <v>1550</v>
      </c>
      <c r="D84" s="1065" t="s">
        <v>1551</v>
      </c>
      <c r="E84" s="1136">
        <v>0.2</v>
      </c>
      <c r="F84" s="1151">
        <v>30</v>
      </c>
    </row>
    <row r="85" spans="1:6" s="1102" customFormat="1" ht="36">
      <c r="A85" s="1151">
        <v>25</v>
      </c>
      <c r="B85" s="3677"/>
      <c r="C85" s="1065" t="s">
        <v>1552</v>
      </c>
      <c r="D85" s="1065" t="s">
        <v>1553</v>
      </c>
      <c r="E85" s="1136">
        <v>0.5</v>
      </c>
      <c r="F85" s="1151">
        <v>80</v>
      </c>
    </row>
    <row r="86" spans="1:6" s="1102" customFormat="1" ht="36">
      <c r="A86" s="1151">
        <v>26</v>
      </c>
      <c r="B86" s="3677"/>
      <c r="C86" s="1065" t="s">
        <v>1554</v>
      </c>
      <c r="D86" s="1065" t="s">
        <v>1555</v>
      </c>
      <c r="E86" s="1136">
        <v>0.2</v>
      </c>
      <c r="F86" s="1151">
        <v>30</v>
      </c>
    </row>
    <row r="87" spans="1:6" s="1102" customFormat="1" ht="36">
      <c r="A87" s="1151">
        <v>27</v>
      </c>
      <c r="B87" s="3677"/>
      <c r="C87" s="1065" t="s">
        <v>1556</v>
      </c>
      <c r="D87" s="1065" t="s">
        <v>1557</v>
      </c>
      <c r="E87" s="1136">
        <v>0.2</v>
      </c>
      <c r="F87" s="1151">
        <v>30</v>
      </c>
    </row>
    <row r="88" spans="1:6" s="1102" customFormat="1" ht="36">
      <c r="A88" s="1151">
        <v>28</v>
      </c>
      <c r="B88" s="3677"/>
      <c r="C88" s="1065" t="s">
        <v>1558</v>
      </c>
      <c r="D88" s="1065" t="s">
        <v>1559</v>
      </c>
      <c r="E88" s="1136">
        <v>0.2</v>
      </c>
      <c r="F88" s="1151">
        <v>30</v>
      </c>
    </row>
    <row r="89" spans="1:6" s="1102" customFormat="1" ht="24">
      <c r="A89" s="1151">
        <v>29</v>
      </c>
      <c r="B89" s="3677"/>
      <c r="C89" s="1065" t="s">
        <v>1560</v>
      </c>
      <c r="D89" s="1065" t="s">
        <v>1561</v>
      </c>
      <c r="E89" s="1136">
        <v>0.2</v>
      </c>
      <c r="F89" s="1151">
        <v>30</v>
      </c>
    </row>
    <row r="90" spans="1:6" s="1102" customFormat="1" ht="24">
      <c r="A90" s="1151">
        <v>30</v>
      </c>
      <c r="B90" s="3677"/>
      <c r="C90" s="1065" t="s">
        <v>1562</v>
      </c>
      <c r="D90" s="1065" t="s">
        <v>1563</v>
      </c>
      <c r="E90" s="1136">
        <v>0.2</v>
      </c>
      <c r="F90" s="1151">
        <v>30</v>
      </c>
    </row>
    <row r="91" spans="1:6" s="1102" customFormat="1" ht="36">
      <c r="A91" s="1151">
        <v>31</v>
      </c>
      <c r="B91" s="3677"/>
      <c r="C91" s="1065" t="s">
        <v>1564</v>
      </c>
      <c r="D91" s="1065" t="s">
        <v>1565</v>
      </c>
      <c r="E91" s="1136">
        <v>0.2</v>
      </c>
      <c r="F91" s="1151">
        <v>30</v>
      </c>
    </row>
    <row r="92" spans="1:6" s="1102" customFormat="1" ht="24">
      <c r="A92" s="1151">
        <v>32</v>
      </c>
      <c r="B92" s="3677" t="s">
        <v>1566</v>
      </c>
      <c r="C92" s="1151" t="s">
        <v>1567</v>
      </c>
      <c r="D92" s="1065" t="s">
        <v>1568</v>
      </c>
      <c r="E92" s="1136">
        <v>0.2</v>
      </c>
      <c r="F92" s="1151">
        <v>30</v>
      </c>
    </row>
    <row r="93" spans="1:6" s="1102" customFormat="1" ht="36">
      <c r="A93" s="1151">
        <v>33</v>
      </c>
      <c r="B93" s="3677"/>
      <c r="C93" s="1151" t="s">
        <v>1569</v>
      </c>
      <c r="D93" s="1065" t="s">
        <v>1570</v>
      </c>
      <c r="E93" s="1136">
        <v>0.2</v>
      </c>
      <c r="F93" s="1151">
        <v>30</v>
      </c>
    </row>
    <row r="94" spans="1:6" s="1102" customFormat="1" ht="48">
      <c r="A94" s="1151">
        <v>34</v>
      </c>
      <c r="B94" s="3677"/>
      <c r="C94" s="1151" t="s">
        <v>1571</v>
      </c>
      <c r="D94" s="1065" t="s">
        <v>1572</v>
      </c>
      <c r="E94" s="1136">
        <v>0.2</v>
      </c>
      <c r="F94" s="1151">
        <v>30</v>
      </c>
    </row>
    <row r="95" spans="1:6" s="1102" customFormat="1" ht="36">
      <c r="A95" s="1151">
        <v>35</v>
      </c>
      <c r="B95" s="3677"/>
      <c r="C95" s="1151" t="s">
        <v>1573</v>
      </c>
      <c r="D95" s="1065" t="s">
        <v>1574</v>
      </c>
      <c r="E95" s="1136">
        <v>0.2</v>
      </c>
      <c r="F95" s="1151">
        <v>30</v>
      </c>
    </row>
    <row r="96" spans="1:6" s="1102" customFormat="1" ht="48">
      <c r="A96" s="1151">
        <v>36</v>
      </c>
      <c r="B96" s="3677"/>
      <c r="C96" s="1065" t="s">
        <v>1575</v>
      </c>
      <c r="D96" s="1065" t="s">
        <v>1576</v>
      </c>
      <c r="E96" s="1136">
        <v>0.2</v>
      </c>
      <c r="F96" s="1151">
        <v>30</v>
      </c>
    </row>
    <row r="97" spans="1:6" s="1102" customFormat="1" ht="36">
      <c r="A97" s="1151">
        <v>37</v>
      </c>
      <c r="B97" s="3677"/>
      <c r="C97" s="1151" t="s">
        <v>1577</v>
      </c>
      <c r="D97" s="1065" t="s">
        <v>1578</v>
      </c>
      <c r="E97" s="1136">
        <v>0.2</v>
      </c>
      <c r="F97" s="1151">
        <v>30</v>
      </c>
    </row>
    <row r="98" spans="1:6" s="1102" customFormat="1" ht="36">
      <c r="A98" s="1151">
        <v>38</v>
      </c>
      <c r="B98" s="3677"/>
      <c r="C98" s="1151" t="s">
        <v>1579</v>
      </c>
      <c r="D98" s="1065" t="s">
        <v>1580</v>
      </c>
      <c r="E98" s="1136">
        <v>0.2</v>
      </c>
      <c r="F98" s="1151">
        <v>30</v>
      </c>
    </row>
    <row r="99" spans="1:6" s="1102" customFormat="1" ht="36">
      <c r="A99" s="1151">
        <v>39</v>
      </c>
      <c r="B99" s="3677" t="s">
        <v>1581</v>
      </c>
      <c r="C99" s="1151" t="s">
        <v>1582</v>
      </c>
      <c r="D99" s="1065" t="s">
        <v>1583</v>
      </c>
      <c r="E99" s="1136">
        <v>0.3</v>
      </c>
      <c r="F99" s="1151">
        <v>50</v>
      </c>
    </row>
    <row r="100" spans="1:6" s="1102" customFormat="1" ht="24">
      <c r="A100" s="1151">
        <v>40</v>
      </c>
      <c r="B100" s="3677"/>
      <c r="C100" s="1151" t="s">
        <v>1584</v>
      </c>
      <c r="D100" s="1065" t="s">
        <v>1585</v>
      </c>
      <c r="E100" s="1136">
        <v>0.2</v>
      </c>
      <c r="F100" s="1151">
        <v>30</v>
      </c>
    </row>
    <row r="101" spans="1:6" s="1102" customFormat="1" ht="36">
      <c r="A101" s="1151">
        <v>41</v>
      </c>
      <c r="B101" s="3677"/>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677" t="s">
        <v>1596</v>
      </c>
      <c r="C105" s="1151" t="s">
        <v>1597</v>
      </c>
      <c r="D105" s="1065" t="s">
        <v>1598</v>
      </c>
      <c r="E105" s="1136">
        <v>0.2</v>
      </c>
      <c r="F105" s="1151">
        <v>30</v>
      </c>
    </row>
    <row r="106" spans="1:6" s="1102" customFormat="1" ht="36">
      <c r="A106" s="1151">
        <v>46</v>
      </c>
      <c r="B106" s="3677"/>
      <c r="C106" s="1151" t="s">
        <v>1599</v>
      </c>
      <c r="D106" s="1065" t="s">
        <v>1600</v>
      </c>
      <c r="E106" s="1136">
        <v>0.2</v>
      </c>
      <c r="F106" s="1151">
        <v>30</v>
      </c>
    </row>
    <row r="107" spans="1:6" s="1102" customFormat="1" ht="36">
      <c r="A107" s="1151">
        <v>47</v>
      </c>
      <c r="B107" s="3677" t="s">
        <v>1601</v>
      </c>
      <c r="C107" s="1151" t="s">
        <v>1602</v>
      </c>
      <c r="D107" s="1065" t="s">
        <v>1603</v>
      </c>
      <c r="E107" s="1136">
        <v>0.3</v>
      </c>
      <c r="F107" s="1151">
        <v>50</v>
      </c>
    </row>
    <row r="108" spans="1:6" s="1102" customFormat="1" ht="36">
      <c r="A108" s="1151">
        <v>48</v>
      </c>
      <c r="B108" s="3677"/>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677" t="s">
        <v>1612</v>
      </c>
      <c r="C111" s="1151" t="s">
        <v>1613</v>
      </c>
      <c r="D111" s="1065" t="s">
        <v>1614</v>
      </c>
      <c r="E111" s="1136">
        <v>0.2</v>
      </c>
      <c r="F111" s="1151">
        <v>30</v>
      </c>
    </row>
    <row r="112" spans="1:6" s="1102" customFormat="1" ht="24">
      <c r="A112" s="1151">
        <v>52</v>
      </c>
      <c r="B112" s="3677"/>
      <c r="C112" s="1151" t="s">
        <v>1615</v>
      </c>
      <c r="D112" s="1065" t="s">
        <v>1616</v>
      </c>
      <c r="E112" s="1136">
        <v>0.2</v>
      </c>
      <c r="F112" s="1151">
        <v>30</v>
      </c>
    </row>
    <row r="113" spans="1:14" s="1102" customFormat="1" ht="24">
      <c r="A113" s="1151">
        <v>53</v>
      </c>
      <c r="B113" s="3677"/>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677" t="s">
        <v>1625</v>
      </c>
      <c r="C116" s="1151" t="s">
        <v>1626</v>
      </c>
      <c r="D116" s="1065" t="s">
        <v>1627</v>
      </c>
      <c r="E116" s="1136">
        <v>0.2</v>
      </c>
      <c r="F116" s="1151">
        <v>30</v>
      </c>
    </row>
    <row r="117" spans="1:14" ht="36">
      <c r="A117" s="1151">
        <v>57</v>
      </c>
      <c r="B117" s="3677"/>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676" t="s">
        <v>1634</v>
      </c>
      <c r="B121" s="3676"/>
      <c r="C121" s="3676"/>
      <c r="D121" s="3676"/>
      <c r="E121" s="3676"/>
      <c r="F121" s="3676"/>
      <c r="G121" s="3676"/>
      <c r="H121" s="3676"/>
      <c r="I121" s="3676"/>
      <c r="J121" s="367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681" t="s">
        <v>1040</v>
      </c>
      <c r="B1" s="3681"/>
      <c r="C1" s="3681"/>
      <c r="D1" s="3681"/>
      <c r="E1" s="3681"/>
      <c r="F1" s="368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682" t="s">
        <v>1053</v>
      </c>
      <c r="B2" s="3682"/>
      <c r="C2" s="3682"/>
      <c r="D2" s="3682"/>
      <c r="E2" s="3682"/>
      <c r="F2" s="368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68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68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26180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2426</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2427</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685" t="s">
        <v>2082</v>
      </c>
      <c r="B1" s="3685"/>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2951</v>
      </c>
      <c r="B1" s="3129"/>
      <c r="C1" s="3129"/>
      <c r="D1" s="3129"/>
      <c r="E1" s="3129"/>
      <c r="F1" s="3129"/>
    </row>
    <row r="2" spans="1:6" ht="14.25">
      <c r="A2" s="3130" t="s">
        <v>2945</v>
      </c>
      <c r="B2" s="3131">
        <f ca="1">SUMIF(B7:B14,"&lt;&gt;#ref!",B7:B14)</f>
        <v>36761</v>
      </c>
      <c r="C2" s="3130" t="s">
        <v>2946</v>
      </c>
      <c r="D2" s="3129"/>
      <c r="E2" s="3129"/>
      <c r="F2" s="3129"/>
    </row>
    <row r="3" spans="1:6" ht="14.25">
      <c r="A3" s="3130" t="s">
        <v>2948</v>
      </c>
      <c r="B3" s="3131" t="e">
        <f ca="1">ROUND(B2*10000/E3,0)</f>
        <v>#REF!</v>
      </c>
      <c r="C3" s="3130" t="s">
        <v>2081</v>
      </c>
      <c r="D3" s="3130" t="s">
        <v>2947</v>
      </c>
      <c r="E3" s="3131" t="e">
        <f ca="1">SUM(E7:E14)</f>
        <v>#REF!</v>
      </c>
      <c r="F3" s="3129"/>
    </row>
    <row r="4" spans="1:6" ht="14.25">
      <c r="A4" s="3130" t="s">
        <v>2955</v>
      </c>
      <c r="B4" s="3131" t="e">
        <f ca="1">ROUND(B2*10000/E4,0)</f>
        <v>#REF!</v>
      </c>
      <c r="C4" s="3130" t="s">
        <v>2081</v>
      </c>
      <c r="D4" s="3130" t="s">
        <v>2956</v>
      </c>
      <c r="E4" s="3131" t="e">
        <f ca="1">SUM(F7:F14)</f>
        <v>#REF!</v>
      </c>
      <c r="F4" s="3129"/>
    </row>
    <row r="5" spans="1:6" ht="14.25">
      <c r="A5" s="3132"/>
      <c r="B5" s="1880"/>
      <c r="C5" s="1880"/>
      <c r="D5" s="1880"/>
      <c r="E5" s="1880"/>
      <c r="F5" s="3129"/>
    </row>
    <row r="6" spans="1:6" ht="28.5">
      <c r="A6" s="3133" t="s">
        <v>2952</v>
      </c>
      <c r="B6" s="3130" t="s">
        <v>2949</v>
      </c>
      <c r="C6" s="3131"/>
      <c r="D6" s="1880"/>
      <c r="E6" s="3130" t="s">
        <v>2950</v>
      </c>
      <c r="F6" s="3130" t="s">
        <v>2954</v>
      </c>
    </row>
    <row r="7" spans="1:6" ht="14.25">
      <c r="A7" s="258" t="s">
        <v>2953</v>
      </c>
      <c r="B7" s="3134">
        <f ca="1">SUMIF(INDIRECT("'"&amp;A7&amp;"'"&amp;"!A:A"),"总价",INDIRECT("'"&amp;A7&amp;"'"&amp;"!B:B"))</f>
        <v>36761</v>
      </c>
      <c r="C7" s="3130" t="s">
        <v>2946</v>
      </c>
      <c r="D7" s="1880"/>
      <c r="E7" s="3135">
        <f ca="1">SUMIF(INDIRECT("'"&amp;A7&amp;"'"&amp;"!C:C"),"建筑面积",INDIRECT("'"&amp;A7&amp;"'"&amp;"!D:D"))</f>
        <v>10000</v>
      </c>
      <c r="F7" s="3135">
        <f ca="1">SUMIF(INDIRECT("'"&amp;A7&amp;"'"&amp;"!E:E"),"土地面积",INDIRECT("'"&amp;A7&amp;"'"&amp;"!F:F"))</f>
        <v>2079.0700000000002</v>
      </c>
    </row>
    <row r="8" spans="1:6" ht="14.25">
      <c r="A8" s="258"/>
      <c r="B8" s="3134" t="e">
        <f t="shared" ref="B8:B14" ca="1" si="0">SUMIF(INDIRECT("'"&amp;A8&amp;"'"&amp;"!A:A"),"总价",INDIRECT("'"&amp;A8&amp;"'"&amp;"!B:B"))</f>
        <v>#REF!</v>
      </c>
      <c r="C8" s="3130" t="s">
        <v>2946</v>
      </c>
      <c r="D8" s="1880"/>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2946</v>
      </c>
      <c r="D9" s="1880"/>
      <c r="E9" s="3135" t="e">
        <f t="shared" ca="1" si="1"/>
        <v>#REF!</v>
      </c>
      <c r="F9" s="3135" t="e">
        <f t="shared" ca="1" si="2"/>
        <v>#REF!</v>
      </c>
    </row>
    <row r="10" spans="1:6" ht="14.25">
      <c r="A10" s="258"/>
      <c r="B10" s="3134" t="e">
        <f t="shared" ca="1" si="0"/>
        <v>#REF!</v>
      </c>
      <c r="C10" s="3130" t="s">
        <v>2946</v>
      </c>
      <c r="D10" s="1880"/>
      <c r="E10" s="3135" t="e">
        <f t="shared" ca="1" si="1"/>
        <v>#REF!</v>
      </c>
      <c r="F10" s="3135" t="e">
        <f t="shared" ca="1" si="2"/>
        <v>#REF!</v>
      </c>
    </row>
    <row r="11" spans="1:6" ht="14.25">
      <c r="A11" s="258"/>
      <c r="B11" s="3134" t="e">
        <f t="shared" ca="1" si="0"/>
        <v>#REF!</v>
      </c>
      <c r="C11" s="3130" t="s">
        <v>2946</v>
      </c>
      <c r="D11" s="1880"/>
      <c r="E11" s="3135" t="e">
        <f t="shared" ca="1" si="1"/>
        <v>#REF!</v>
      </c>
      <c r="F11" s="3135" t="e">
        <f t="shared" ca="1" si="2"/>
        <v>#REF!</v>
      </c>
    </row>
    <row r="12" spans="1:6" ht="14.25">
      <c r="A12" s="258"/>
      <c r="B12" s="3134" t="e">
        <f t="shared" ca="1" si="0"/>
        <v>#REF!</v>
      </c>
      <c r="C12" s="3130" t="s">
        <v>2946</v>
      </c>
      <c r="D12" s="1880"/>
      <c r="E12" s="3135" t="e">
        <f t="shared" ca="1" si="1"/>
        <v>#REF!</v>
      </c>
      <c r="F12" s="3135" t="e">
        <f t="shared" ca="1" si="2"/>
        <v>#REF!</v>
      </c>
    </row>
    <row r="13" spans="1:6" ht="14.25">
      <c r="A13" s="258"/>
      <c r="B13" s="3134" t="e">
        <f t="shared" ca="1" si="0"/>
        <v>#REF!</v>
      </c>
      <c r="C13" s="3130" t="s">
        <v>2946</v>
      </c>
      <c r="D13" s="1880"/>
      <c r="E13" s="3135" t="e">
        <f t="shared" ca="1" si="1"/>
        <v>#REF!</v>
      </c>
      <c r="F13" s="3135" t="e">
        <f t="shared" ca="1" si="2"/>
        <v>#REF!</v>
      </c>
    </row>
    <row r="14" spans="1:6" ht="14.25">
      <c r="A14" s="3128"/>
      <c r="B14" s="3134" t="e">
        <f t="shared" ca="1" si="0"/>
        <v>#REF!</v>
      </c>
      <c r="C14" s="3130" t="s">
        <v>2946</v>
      </c>
      <c r="D14" s="1880"/>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628</v>
      </c>
      <c r="B1" s="736"/>
      <c r="C1" s="771"/>
      <c r="D1" s="2049"/>
      <c r="E1" s="2410" t="s">
        <v>2378</v>
      </c>
      <c r="F1" s="2411">
        <f ca="1">J54</f>
        <v>0</v>
      </c>
      <c r="G1" s="772">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3">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4" t="s">
        <v>695</v>
      </c>
      <c r="I3" s="2056"/>
      <c r="J3" s="2056"/>
      <c r="K3" s="2057"/>
      <c r="L3" s="2056"/>
      <c r="M3" s="2056"/>
    </row>
    <row r="4" spans="1:25" ht="18" customHeight="1">
      <c r="A4" s="1644" t="s">
        <v>696</v>
      </c>
      <c r="B4" s="1349">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697</v>
      </c>
      <c r="D5" s="2054"/>
      <c r="E5" s="2055"/>
      <c r="F5" s="2055"/>
      <c r="G5" s="1588"/>
      <c r="H5" s="774"/>
      <c r="I5" s="2056"/>
      <c r="J5" s="2056"/>
      <c r="K5" s="2057"/>
      <c r="L5" s="2056"/>
      <c r="M5" s="2056"/>
    </row>
    <row r="6" spans="1:25" ht="18" customHeight="1">
      <c r="A6" s="1827" t="s">
        <v>698</v>
      </c>
      <c r="B6" s="1819" t="s">
        <v>699</v>
      </c>
      <c r="C6" s="1819" t="s">
        <v>632</v>
      </c>
      <c r="D6" s="1819" t="s">
        <v>633</v>
      </c>
      <c r="E6" s="777" t="s">
        <v>634</v>
      </c>
      <c r="F6" s="778"/>
      <c r="G6" s="1590"/>
      <c r="H6" s="1827" t="s">
        <v>630</v>
      </c>
      <c r="I6" s="1819" t="s">
        <v>631</v>
      </c>
      <c r="J6" s="1819" t="s">
        <v>632</v>
      </c>
      <c r="K6" s="1819" t="s">
        <v>633</v>
      </c>
      <c r="L6" s="777" t="s">
        <v>634</v>
      </c>
      <c r="M6" s="778"/>
    </row>
    <row r="7" spans="1:25" ht="18" customHeight="1">
      <c r="A7" s="779">
        <v>1</v>
      </c>
      <c r="B7" s="780" t="s">
        <v>2462</v>
      </c>
      <c r="C7" s="51">
        <f ca="1">C8+C12+C14</f>
        <v>0</v>
      </c>
      <c r="D7" s="2517" t="s">
        <v>2465</v>
      </c>
      <c r="E7" s="2511"/>
      <c r="F7" s="2512"/>
      <c r="G7" s="1590"/>
      <c r="H7" s="779">
        <v>1</v>
      </c>
      <c r="I7" s="780" t="s">
        <v>2462</v>
      </c>
      <c r="J7" s="51">
        <f ca="1">J8+J12+J14</f>
        <v>0</v>
      </c>
      <c r="K7" s="2517" t="s">
        <v>2465</v>
      </c>
      <c r="L7" s="2511"/>
      <c r="M7" s="2512"/>
    </row>
    <row r="8" spans="1:25" ht="18" customHeight="1">
      <c r="A8" s="1829" t="s">
        <v>1825</v>
      </c>
      <c r="B8" s="3687" t="s">
        <v>2467</v>
      </c>
      <c r="C8" s="1824">
        <f ca="1">ROUND(F8*F10*F9*(1-F11)/10000,0)</f>
        <v>0</v>
      </c>
      <c r="D8" s="1821" t="s">
        <v>2538</v>
      </c>
      <c r="E8" s="59" t="s">
        <v>637</v>
      </c>
      <c r="F8" s="783">
        <f ca="1">INDIRECT("'数据-取费表'!u"&amp;$G$1)</f>
        <v>0</v>
      </c>
      <c r="G8" s="1590"/>
      <c r="H8" s="2525" t="s">
        <v>1825</v>
      </c>
      <c r="I8" s="3687" t="s">
        <v>2467</v>
      </c>
      <c r="J8" s="781">
        <f ca="1">ROUND(M8*M10*M9*(1-M11)/10000,0)</f>
        <v>0</v>
      </c>
      <c r="K8" s="339" t="s">
        <v>2538</v>
      </c>
      <c r="L8" s="782" t="s">
        <v>1739</v>
      </c>
      <c r="M8" s="783">
        <f ca="1">INDIRECT("'数据-取费表'!z"&amp;$G$1)</f>
        <v>0</v>
      </c>
    </row>
    <row r="9" spans="1:25" ht="18" customHeight="1">
      <c r="A9" s="2521"/>
      <c r="B9" s="3688"/>
      <c r="C9" s="1825"/>
      <c r="D9" s="1822"/>
      <c r="E9" s="59" t="s">
        <v>638</v>
      </c>
      <c r="F9" s="783">
        <f ca="1">IF(INDIRECT("'数据-取费表'!ah"&amp;$G$1)="",INDIRECT("'数据-取费表'!k"&amp;$G$1),INDIRECT("'数据-取费表'!ah"&amp;$G$1))</f>
        <v>0</v>
      </c>
      <c r="G9" s="1590"/>
      <c r="H9" s="2510"/>
      <c r="I9" s="3688"/>
      <c r="J9" s="786"/>
      <c r="K9" s="787"/>
      <c r="L9" s="782" t="s">
        <v>1740</v>
      </c>
      <c r="M9" s="783">
        <f ca="1">F9</f>
        <v>0</v>
      </c>
    </row>
    <row r="10" spans="1:25" ht="18" customHeight="1">
      <c r="A10" s="2514"/>
      <c r="B10" s="3689"/>
      <c r="C10" s="1825"/>
      <c r="D10" s="1822"/>
      <c r="E10" s="59" t="s">
        <v>639</v>
      </c>
      <c r="F10" s="783">
        <f ca="1">INDIRECT("'数据-取费表'!ai"&amp;$G$1)</f>
        <v>0</v>
      </c>
      <c r="G10" s="1590"/>
      <c r="H10" s="2510"/>
      <c r="I10" s="3689"/>
      <c r="J10" s="786"/>
      <c r="K10" s="787"/>
      <c r="L10" s="782" t="s">
        <v>1741</v>
      </c>
      <c r="M10" s="783">
        <f ca="1">INDIRECT("'数据-取费表'!ai"&amp;$G$1)</f>
        <v>0</v>
      </c>
    </row>
    <row r="11" spans="1:25" ht="18" customHeight="1">
      <c r="A11" s="784"/>
      <c r="B11" s="3690"/>
      <c r="C11" s="1825"/>
      <c r="D11" s="1822"/>
      <c r="E11" s="59" t="s">
        <v>640</v>
      </c>
      <c r="F11" s="792">
        <f ca="1">INDIRECT("'数据-取费表'!w"&amp;$G$1)</f>
        <v>0</v>
      </c>
      <c r="G11" s="1590"/>
      <c r="H11" s="2526"/>
      <c r="I11" s="3689"/>
      <c r="J11" s="786"/>
      <c r="K11" s="787"/>
      <c r="L11" s="793" t="s">
        <v>1742</v>
      </c>
      <c r="M11" s="794">
        <f ca="1">INDIRECT("'数据-取费表'!ab"&amp;$G$1)</f>
        <v>0</v>
      </c>
    </row>
    <row r="12" spans="1:25" ht="18" customHeight="1">
      <c r="A12" s="1829" t="s">
        <v>1826</v>
      </c>
      <c r="B12" s="2515" t="s">
        <v>2463</v>
      </c>
      <c r="C12" s="797">
        <f ca="1">ROUND(IF(F12="押一",C8/12*F13,IF(F12="押二",C8/12*2*F13,IF(F12="押三",C8/12*3*F13,C13*F13))),0)</f>
        <v>0</v>
      </c>
      <c r="D12" s="2522" t="s">
        <v>2975</v>
      </c>
      <c r="E12" s="2519" t="s">
        <v>2468</v>
      </c>
      <c r="F12" s="2642"/>
      <c r="G12" s="1590"/>
      <c r="H12" s="2582" t="s">
        <v>1826</v>
      </c>
      <c r="I12" s="2587" t="s">
        <v>2463</v>
      </c>
      <c r="J12" s="781">
        <f ca="1">ROUND(IF(M12="押一",J8/12*M13,IF(M12="押二",J8/12*2*M13,IF(M12="押三",J8/12*3*M13,J13*M13))),0)</f>
        <v>0</v>
      </c>
      <c r="K12" s="2522" t="s">
        <v>2975</v>
      </c>
      <c r="L12" s="2519" t="s">
        <v>2468</v>
      </c>
      <c r="M12" s="2642"/>
    </row>
    <row r="13" spans="1:25" ht="18" customHeight="1">
      <c r="A13" s="788"/>
      <c r="B13" s="2516" t="s">
        <v>2577</v>
      </c>
      <c r="C13" s="2520"/>
      <c r="D13" s="787"/>
      <c r="E13" s="2519" t="s">
        <v>2460</v>
      </c>
      <c r="F13" s="794">
        <f ca="1">'数据-取费表'!B39</f>
        <v>1.4999999999999999E-2</v>
      </c>
      <c r="G13" s="1590"/>
      <c r="H13" s="2583"/>
      <c r="I13" s="2516" t="s">
        <v>2577</v>
      </c>
      <c r="J13" s="2520"/>
      <c r="K13" s="2584"/>
      <c r="L13" s="2519" t="s">
        <v>2460</v>
      </c>
      <c r="M13" s="2513">
        <f ca="1">'数据-取费表'!B39</f>
        <v>1.4999999999999999E-2</v>
      </c>
    </row>
    <row r="14" spans="1:25" ht="18" customHeight="1" thickBot="1">
      <c r="A14" s="2558" t="s">
        <v>2471</v>
      </c>
      <c r="B14" s="2559" t="s">
        <v>2464</v>
      </c>
      <c r="C14" s="2560"/>
      <c r="D14" s="2561"/>
      <c r="E14" s="2562"/>
      <c r="F14" s="2563"/>
      <c r="G14" s="1590"/>
      <c r="H14" s="2572" t="s">
        <v>2471</v>
      </c>
      <c r="I14" s="2585" t="s">
        <v>2464</v>
      </c>
      <c r="J14" s="2586"/>
      <c r="K14" s="2561"/>
      <c r="L14" s="2562"/>
      <c r="M14" s="2575"/>
    </row>
    <row r="15" spans="1:25" ht="18" customHeight="1" thickTop="1">
      <c r="A15" s="1828" t="s">
        <v>1875</v>
      </c>
      <c r="B15" s="1826" t="s">
        <v>641</v>
      </c>
      <c r="C15" s="790">
        <f ca="1">ROUND(C31*F15,0)</f>
        <v>0</v>
      </c>
      <c r="D15" s="1833" t="s">
        <v>642</v>
      </c>
      <c r="E15" s="793" t="s">
        <v>643</v>
      </c>
      <c r="F15" s="798">
        <f ca="1">INDIRECT("'数据-取费表'!y"&amp;$G$1)</f>
        <v>0</v>
      </c>
      <c r="G15" s="1590"/>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8" t="s">
        <v>646</v>
      </c>
      <c r="E16" s="1979"/>
      <c r="F16" s="803"/>
      <c r="G16" s="1590"/>
      <c r="H16" s="801" t="s">
        <v>2072</v>
      </c>
      <c r="I16" s="2230" t="s">
        <v>2828</v>
      </c>
      <c r="J16" s="51">
        <f ca="1">C31</f>
        <v>0</v>
      </c>
      <c r="K16" s="24"/>
      <c r="L16" s="799"/>
      <c r="M16" s="800"/>
    </row>
    <row r="17" spans="1:25" s="2063" customFormat="1" ht="18" customHeight="1">
      <c r="A17" s="801" t="s">
        <v>1850</v>
      </c>
      <c r="B17" s="782" t="s">
        <v>647</v>
      </c>
      <c r="C17" s="51">
        <f ca="1">ROUND(C16*F17,0)</f>
        <v>0</v>
      </c>
      <c r="D17" s="804" t="s">
        <v>648</v>
      </c>
      <c r="E17" s="804" t="s">
        <v>649</v>
      </c>
      <c r="F17" s="805">
        <f>'数据-取费表'!B33</f>
        <v>0.03</v>
      </c>
      <c r="G17" s="1591"/>
      <c r="H17" s="801" t="s">
        <v>2073</v>
      </c>
      <c r="I17" s="782" t="s">
        <v>643</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4" t="s">
        <v>652</v>
      </c>
      <c r="L18" s="1981"/>
      <c r="M18" s="54"/>
    </row>
    <row r="19" spans="1:25" s="2063" customFormat="1" ht="18" customHeight="1">
      <c r="A19" s="801" t="s">
        <v>1852</v>
      </c>
      <c r="B19" s="782" t="s">
        <v>653</v>
      </c>
      <c r="C19" s="51">
        <f ca="1">ROUND(F19*(INDIRECT("'数据-取费表'!k"&amp;$G$1)+INDIRECT("'数据-取费表'!S"&amp;$G$1))/10000,0)</f>
        <v>0</v>
      </c>
      <c r="D19" s="782" t="s">
        <v>654</v>
      </c>
      <c r="E19" s="782" t="s">
        <v>655</v>
      </c>
      <c r="F19" s="54">
        <f>'数据-取费表'!B35</f>
        <v>200</v>
      </c>
      <c r="G19" s="1591"/>
      <c r="H19" s="801" t="s">
        <v>2072</v>
      </c>
      <c r="I19" s="782" t="s">
        <v>656</v>
      </c>
      <c r="J19" s="51">
        <f ca="1">ROUND(IF(项目基本情况!B11="自然人",J7*M19,J20+J21+J22),0)</f>
        <v>0</v>
      </c>
      <c r="K19" s="1978" t="s">
        <v>657</v>
      </c>
      <c r="L19" s="1976" t="s">
        <v>658</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1853</v>
      </c>
      <c r="B20" s="782" t="s">
        <v>659</v>
      </c>
      <c r="C20" s="51">
        <f ca="1">ROUND(C16*F20,0)</f>
        <v>0</v>
      </c>
      <c r="D20" s="782" t="s">
        <v>648</v>
      </c>
      <c r="E20" s="782" t="s">
        <v>649</v>
      </c>
      <c r="F20" s="807">
        <f>'数据-取费表'!B36</f>
        <v>1.4999999999999999E-2</v>
      </c>
      <c r="G20" s="1591"/>
      <c r="H20" s="801" t="s">
        <v>1832</v>
      </c>
      <c r="I20" s="782" t="s">
        <v>660</v>
      </c>
      <c r="J20" s="51">
        <f ca="1">ROUND(J7*M20/1.05,1)</f>
        <v>0</v>
      </c>
      <c r="K20" s="1976" t="s">
        <v>661</v>
      </c>
      <c r="L20" s="782" t="s">
        <v>649</v>
      </c>
      <c r="M20" s="807">
        <f>'数据-取费表'!B41</f>
        <v>5.6000000000000001E-2</v>
      </c>
      <c r="N20" s="2062"/>
      <c r="O20" s="2062"/>
      <c r="P20" s="2062"/>
      <c r="Q20" s="2062"/>
      <c r="R20" s="2062"/>
      <c r="S20" s="2062"/>
      <c r="T20" s="2062"/>
      <c r="U20" s="2062"/>
      <c r="V20" s="2062"/>
      <c r="W20" s="2062"/>
      <c r="X20" s="2062"/>
      <c r="Y20" s="2062"/>
    </row>
    <row r="21" spans="1:25" ht="18" customHeight="1">
      <c r="A21" s="801" t="s">
        <v>1877</v>
      </c>
      <c r="B21" s="782" t="s">
        <v>662</v>
      </c>
      <c r="C21" s="51">
        <f ca="1">SUM(C16:C20)</f>
        <v>0</v>
      </c>
      <c r="D21" s="259" t="s">
        <v>663</v>
      </c>
      <c r="E21" s="1981"/>
      <c r="F21" s="54"/>
      <c r="G21" s="1590"/>
      <c r="H21" s="1829" t="s">
        <v>1850</v>
      </c>
      <c r="I21" s="782" t="s">
        <v>664</v>
      </c>
      <c r="J21" s="51">
        <f ca="1">IF(K21="按租金收入计税",ROUND(J7*M21,1),ROUND(C31*F35*0.7,1))</f>
        <v>0</v>
      </c>
      <c r="K21" s="809" t="s">
        <v>665</v>
      </c>
      <c r="L21" s="782" t="s">
        <v>649</v>
      </c>
      <c r="M21" s="807">
        <f>IF(K21="按租金收入计税",'数据-取费表'!B51,'数据-取费表'!B50)</f>
        <v>1.2E-2</v>
      </c>
    </row>
    <row r="22" spans="1:25" s="2063" customFormat="1" ht="18" customHeight="1">
      <c r="A22" s="801" t="s">
        <v>1878</v>
      </c>
      <c r="B22" s="782" t="s">
        <v>666</v>
      </c>
      <c r="C22" s="51">
        <f ca="1">ROUND(C21*F22,0)</f>
        <v>0</v>
      </c>
      <c r="D22" s="810" t="s">
        <v>667</v>
      </c>
      <c r="E22" s="782" t="s">
        <v>649</v>
      </c>
      <c r="F22" s="807">
        <f>'数据-取费表'!B37</f>
        <v>0.02</v>
      </c>
      <c r="G22" s="1591"/>
      <c r="H22" s="1831" t="s">
        <v>1851</v>
      </c>
      <c r="I22" s="1821" t="s">
        <v>668</v>
      </c>
      <c r="J22" s="52">
        <f ca="1">ROUND(M22*M23/10000,0)</f>
        <v>0</v>
      </c>
      <c r="K22" s="812" t="s">
        <v>669</v>
      </c>
      <c r="L22" s="782" t="s">
        <v>670</v>
      </c>
      <c r="M22" s="638">
        <f>'数据-取费表'!B52</f>
        <v>0</v>
      </c>
      <c r="N22" s="2062"/>
      <c r="O22" s="2062"/>
      <c r="P22" s="2062"/>
      <c r="Q22" s="2062"/>
      <c r="R22" s="2062"/>
      <c r="S22" s="2062"/>
      <c r="T22" s="2062"/>
      <c r="U22" s="2062"/>
      <c r="V22" s="2062"/>
      <c r="W22" s="2062"/>
      <c r="X22" s="2062"/>
      <c r="Y22" s="2062"/>
    </row>
    <row r="23" spans="1:25" s="2063" customFormat="1" ht="18" customHeight="1">
      <c r="A23" s="801" t="s">
        <v>1879</v>
      </c>
      <c r="B23" s="782" t="s">
        <v>671</v>
      </c>
      <c r="C23" s="51" t="s">
        <v>1</v>
      </c>
      <c r="D23" s="810" t="s">
        <v>672</v>
      </c>
      <c r="E23" s="782" t="s">
        <v>673</v>
      </c>
      <c r="F23" s="807">
        <f>'数据-取费表'!B38</f>
        <v>0.02</v>
      </c>
      <c r="G23" s="1591"/>
      <c r="H23" s="1832"/>
      <c r="I23" s="1823"/>
      <c r="J23" s="67"/>
      <c r="K23" s="814"/>
      <c r="L23" s="782" t="s">
        <v>674</v>
      </c>
      <c r="M23" s="783">
        <f ca="1">INDIRECT("'数据-取费表'!r"&amp;$G$1)</f>
        <v>0</v>
      </c>
      <c r="N23" s="2062"/>
      <c r="O23" s="2062"/>
      <c r="P23" s="2062"/>
      <c r="Q23" s="2062"/>
      <c r="R23" s="2062"/>
      <c r="S23" s="2062"/>
      <c r="T23" s="2062"/>
      <c r="U23" s="2062"/>
      <c r="V23" s="2062"/>
      <c r="W23" s="2062"/>
      <c r="X23" s="2062"/>
      <c r="Y23" s="2062"/>
    </row>
    <row r="24" spans="1:25" ht="18" customHeight="1">
      <c r="A24" s="801" t="s">
        <v>1880</v>
      </c>
      <c r="B24" s="782" t="s">
        <v>675</v>
      </c>
      <c r="C24" s="51"/>
      <c r="D24" s="2593" t="str">
        <f>IF(F25&lt;=1,"单利计息。","复利计息。")&amp;"建造成本、管理费用、销售费用产生的利息。"</f>
        <v>复利计息。建造成本、管理费用、销售费用产生的利息。</v>
      </c>
      <c r="E24" s="1981"/>
      <c r="F24" s="54"/>
      <c r="G24" s="1590"/>
      <c r="H24" s="1830" t="s">
        <v>2073</v>
      </c>
      <c r="I24" s="782" t="s">
        <v>676</v>
      </c>
      <c r="J24" s="51">
        <f ca="1">ROUND(J16*M24,0)</f>
        <v>0</v>
      </c>
      <c r="K24" s="1976" t="s">
        <v>677</v>
      </c>
      <c r="L24" s="782" t="s">
        <v>649</v>
      </c>
      <c r="M24" s="815">
        <f ca="1">INDIRECT("'数据-取费表'!Ak"&amp;$G$1)</f>
        <v>0</v>
      </c>
    </row>
    <row r="25" spans="1:25" s="2063" customFormat="1" ht="18" customHeight="1">
      <c r="A25" s="801" t="s">
        <v>1876</v>
      </c>
      <c r="B25" s="782" t="s">
        <v>2441</v>
      </c>
      <c r="C25" s="51">
        <f ca="1">ROUND(IF('数据-取费表'!B22&lt;=1,(C21+C22)*F26*F25/2,(C21+C22)*(POWER((1+F26),F25/2)-1)),0)</f>
        <v>0</v>
      </c>
      <c r="D25" s="2592" t="str">
        <f>IF(F25&lt;=1,"(建造成本+管理费用)×利率×(建设周期÷2)","(建造成本+管理费用)×((1+利率)^(建设周期÷2)-1)")</f>
        <v>(建造成本+管理费用)×((1+利率)^(建设周期÷2)-1)</v>
      </c>
      <c r="E25" s="782" t="s">
        <v>678</v>
      </c>
      <c r="F25" s="638">
        <f>'数据-取费表'!B20</f>
        <v>1.5</v>
      </c>
      <c r="G25" s="1591"/>
      <c r="H25" s="801" t="s">
        <v>1879</v>
      </c>
      <c r="I25" s="782" t="s">
        <v>679</v>
      </c>
      <c r="J25" s="51">
        <f ca="1">ROUND(J15*M25,0)</f>
        <v>0</v>
      </c>
      <c r="K25" s="1976" t="s">
        <v>680</v>
      </c>
      <c r="L25" s="782" t="s">
        <v>649</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1850</v>
      </c>
      <c r="B26" s="782" t="s">
        <v>681</v>
      </c>
      <c r="C26" s="51">
        <f ca="1">ROUND(IF('数据-取费表'!B22&lt;=1,F23*F26*F25/2,F23*(POWER((1+F26),F25/2)-1)),4)</f>
        <v>6.9999999999999999E-4</v>
      </c>
      <c r="D26" s="2592" t="str">
        <f>IF(F25&lt;=1,"销售费用×利率×(建设周期÷2)","销售费用×((1+利率)^(建设周期÷2)-1)")</f>
        <v>销售费用×((1+利率)^(建设周期÷2)-1)</v>
      </c>
      <c r="E26" s="782" t="s">
        <v>682</v>
      </c>
      <c r="F26" s="817">
        <f ca="1">'数据-取费表'!B40</f>
        <v>4.7500000000000001E-2</v>
      </c>
      <c r="G26" s="1591"/>
      <c r="H26" s="801" t="s">
        <v>1880</v>
      </c>
      <c r="I26" s="782" t="s">
        <v>666</v>
      </c>
      <c r="J26" s="51">
        <f ca="1">ROUND(J7*M26,0)</f>
        <v>0</v>
      </c>
      <c r="K26" s="1976" t="s">
        <v>683</v>
      </c>
      <c r="L26" s="782" t="s">
        <v>649</v>
      </c>
      <c r="M26" s="792">
        <f ca="1">INDIRECT("'数据-取费表'!Am"&amp;$G$1)</f>
        <v>0</v>
      </c>
      <c r="N26" s="2062"/>
      <c r="O26" s="2062"/>
      <c r="P26" s="2062"/>
      <c r="Q26" s="2062"/>
      <c r="R26" s="2062"/>
      <c r="S26" s="2062"/>
      <c r="T26" s="2062"/>
      <c r="U26" s="2062"/>
      <c r="V26" s="2062"/>
      <c r="W26" s="2062"/>
      <c r="X26" s="2062"/>
      <c r="Y26" s="2062"/>
    </row>
    <row r="27" spans="1:25" ht="18" customHeight="1">
      <c r="A27" s="801" t="s">
        <v>1882</v>
      </c>
      <c r="B27" s="782" t="s">
        <v>684</v>
      </c>
      <c r="C27" s="51"/>
      <c r="D27" s="259" t="s">
        <v>685</v>
      </c>
      <c r="E27" s="1981"/>
      <c r="F27" s="54"/>
      <c r="G27" s="1590"/>
      <c r="H27" s="795" t="s">
        <v>1829</v>
      </c>
      <c r="I27" s="3030" t="s">
        <v>2825</v>
      </c>
      <c r="J27" s="797">
        <f ca="1">J7-J18</f>
        <v>0</v>
      </c>
      <c r="K27" s="1978" t="s">
        <v>700</v>
      </c>
      <c r="L27" s="1980"/>
      <c r="M27" s="818"/>
    </row>
    <row r="28" spans="1:25" ht="18" customHeight="1">
      <c r="A28" s="801" t="s">
        <v>1876</v>
      </c>
      <c r="B28" s="782" t="s">
        <v>2442</v>
      </c>
      <c r="C28" s="51">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0"/>
      <c r="H29" s="784"/>
      <c r="I29" s="785"/>
      <c r="J29" s="786"/>
      <c r="K29" s="819" t="s">
        <v>707</v>
      </c>
      <c r="L29" s="782" t="s">
        <v>708</v>
      </c>
      <c r="M29" s="820">
        <f ca="1">INDIRECT("'数据-取费表'!ag"&amp;$G$1)</f>
        <v>0</v>
      </c>
    </row>
    <row r="30" spans="1:25" s="2063" customFormat="1" ht="18" customHeight="1">
      <c r="A30" s="801" t="s">
        <v>1883</v>
      </c>
      <c r="B30" s="782" t="s">
        <v>687</v>
      </c>
      <c r="C30" s="51">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1884</v>
      </c>
      <c r="B31" s="2562" t="s">
        <v>2826</v>
      </c>
      <c r="C31" s="2565">
        <f ca="1">ROUND((C21+C22+C25+C28)/(1-F23-C26-C29-C30),0)</f>
        <v>0</v>
      </c>
      <c r="D31" s="2566"/>
      <c r="E31" s="2567"/>
      <c r="F31" s="2568"/>
      <c r="G31" s="1591"/>
      <c r="H31" s="821" t="s">
        <v>1873</v>
      </c>
      <c r="I31" s="3031" t="s">
        <v>2827</v>
      </c>
      <c r="J31" s="823">
        <f ca="1">ROUND(J28/(1+F45)^F46,0)</f>
        <v>0</v>
      </c>
      <c r="K31" s="824" t="s">
        <v>688</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0">
        <f ca="1">ROUND(C33+C38+C39+C40,0)</f>
        <v>0</v>
      </c>
      <c r="D32" s="1820" t="s">
        <v>652</v>
      </c>
      <c r="E32" s="2508"/>
      <c r="F32" s="2512"/>
      <c r="G32" s="2061"/>
      <c r="H32" s="2064"/>
      <c r="I32" s="2065"/>
      <c r="J32" s="2066"/>
      <c r="K32" s="2067"/>
      <c r="L32" s="2068"/>
      <c r="M32" s="2069"/>
    </row>
    <row r="33" spans="1:18" ht="18" customHeight="1">
      <c r="A33" s="801" t="s">
        <v>1877</v>
      </c>
      <c r="B33" s="782" t="s">
        <v>656</v>
      </c>
      <c r="C33" s="51">
        <f ca="1">ROUND(IF(项目基本情况!B11="自然人",C7*F33,C34+C35+C36),1)</f>
        <v>0</v>
      </c>
      <c r="D33" s="1978" t="s">
        <v>657</v>
      </c>
      <c r="E33" s="1976" t="s">
        <v>690</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1876</v>
      </c>
      <c r="B34" s="782" t="s">
        <v>660</v>
      </c>
      <c r="C34" s="51">
        <f ca="1">ROUND(C7*F34/1.05,1)</f>
        <v>0</v>
      </c>
      <c r="D34" s="1976" t="s">
        <v>661</v>
      </c>
      <c r="E34" s="782" t="s">
        <v>649</v>
      </c>
      <c r="F34" s="807">
        <f>'数据-取费表'!B41</f>
        <v>5.6000000000000001E-2</v>
      </c>
      <c r="G34" s="2061"/>
      <c r="H34" s="2070"/>
      <c r="I34" s="2071"/>
      <c r="J34" s="2072"/>
      <c r="K34" s="2073"/>
      <c r="L34" s="2074"/>
      <c r="M34" s="2075"/>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1"/>
      <c r="H35" s="2076"/>
      <c r="I35" s="2076"/>
      <c r="J35" s="2076"/>
      <c r="K35" s="2077"/>
      <c r="L35" s="2076"/>
      <c r="M35" s="2076"/>
    </row>
    <row r="36" spans="1:18" ht="18" customHeight="1">
      <c r="A36" s="811" t="s">
        <v>1881</v>
      </c>
      <c r="B36" s="339" t="s">
        <v>668</v>
      </c>
      <c r="C36" s="52">
        <f ca="1">ROUND(F36*F37/10000,1)</f>
        <v>0</v>
      </c>
      <c r="D36" s="812" t="s">
        <v>669</v>
      </c>
      <c r="E36" s="782" t="s">
        <v>670</v>
      </c>
      <c r="F36" s="638">
        <f>'数据-取费表'!B52</f>
        <v>0</v>
      </c>
      <c r="G36" s="2061"/>
      <c r="H36" s="2064"/>
      <c r="I36" s="3686"/>
      <c r="J36" s="2078"/>
      <c r="K36" s="2079"/>
      <c r="L36" s="2078"/>
      <c r="M36" s="2078"/>
    </row>
    <row r="37" spans="1:18" ht="18" customHeight="1">
      <c r="A37" s="813"/>
      <c r="B37" s="791"/>
      <c r="C37" s="67"/>
      <c r="D37" s="814"/>
      <c r="E37" s="782" t="s">
        <v>674</v>
      </c>
      <c r="F37" s="783">
        <f ca="1">INDIRECT("'数据-取费表'!r"&amp;$G$1)</f>
        <v>0</v>
      </c>
      <c r="G37" s="2061"/>
      <c r="H37" s="2064"/>
      <c r="I37" s="3686"/>
      <c r="J37" s="2076"/>
      <c r="K37" s="2077"/>
      <c r="L37" s="2076"/>
      <c r="M37" s="2076"/>
    </row>
    <row r="38" spans="1:18" ht="18" customHeight="1">
      <c r="A38" s="801" t="s">
        <v>1878</v>
      </c>
      <c r="B38" s="782" t="s">
        <v>676</v>
      </c>
      <c r="C38" s="51">
        <f ca="1">ROUND(C31*F38,1)</f>
        <v>0</v>
      </c>
      <c r="D38" s="1976" t="s">
        <v>691</v>
      </c>
      <c r="E38" s="782" t="s">
        <v>649</v>
      </c>
      <c r="F38" s="815">
        <f ca="1">INDIRECT("'数据-取费表'!Ak"&amp;$G$1)</f>
        <v>0</v>
      </c>
      <c r="G38" s="2061"/>
      <c r="H38" s="2076"/>
      <c r="I38" s="2080"/>
      <c r="J38" s="1987"/>
      <c r="K38" s="2081"/>
      <c r="L38" s="2076"/>
      <c r="M38" s="2076"/>
    </row>
    <row r="39" spans="1:18" ht="18" customHeight="1">
      <c r="A39" s="801" t="s">
        <v>1879</v>
      </c>
      <c r="B39" s="782" t="s">
        <v>679</v>
      </c>
      <c r="C39" s="51">
        <f ca="1">ROUND(C15*F39,1)</f>
        <v>0</v>
      </c>
      <c r="D39" s="1976" t="s">
        <v>680</v>
      </c>
      <c r="E39" s="782" t="s">
        <v>649</v>
      </c>
      <c r="F39" s="816">
        <f ca="1">INDIRECT("'数据-取费表'!Al"&amp;$G$1)</f>
        <v>0</v>
      </c>
      <c r="G39" s="2061"/>
      <c r="H39" s="2076"/>
      <c r="I39" s="2080"/>
      <c r="J39" s="1987"/>
      <c r="K39" s="2081"/>
      <c r="L39" s="2076"/>
      <c r="M39" s="2076"/>
    </row>
    <row r="40" spans="1:18" ht="18" customHeight="1" thickBot="1">
      <c r="A40" s="2581" t="s">
        <v>1880</v>
      </c>
      <c r="B40" s="2567" t="s">
        <v>666</v>
      </c>
      <c r="C40" s="2565">
        <f ca="1">ROUND(C7*F40,1)</f>
        <v>0</v>
      </c>
      <c r="D40" s="2566" t="s">
        <v>683</v>
      </c>
      <c r="E40" s="2567" t="s">
        <v>649</v>
      </c>
      <c r="F40" s="2563">
        <f ca="1">INDIRECT("'数据-取费表'!Am"&amp;$G$1)</f>
        <v>0</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1" t="s">
        <v>1877</v>
      </c>
      <c r="B42" s="833" t="s">
        <v>693</v>
      </c>
      <c r="C42" s="827">
        <f ca="1">C7-C32</f>
        <v>0</v>
      </c>
      <c r="D42" s="1978" t="s">
        <v>694</v>
      </c>
      <c r="E42" s="1980"/>
      <c r="F42" s="818"/>
      <c r="G42" s="2061"/>
      <c r="H42" s="2061"/>
      <c r="I42" s="2061"/>
      <c r="J42" s="2061"/>
      <c r="K42" s="2082"/>
      <c r="L42" s="2061"/>
      <c r="M42" s="2061"/>
    </row>
    <row r="43" spans="1:18" ht="18" customHeight="1">
      <c r="A43" s="801" t="s">
        <v>1878</v>
      </c>
      <c r="B43" s="833" t="s">
        <v>711</v>
      </c>
      <c r="C43" s="834">
        <f ca="1">ROUND(C15*F43,0)</f>
        <v>0</v>
      </c>
      <c r="D43" s="1353" t="s">
        <v>712</v>
      </c>
      <c r="E43" s="3141" t="s">
        <v>2964</v>
      </c>
      <c r="F43" s="3142">
        <f ca="1">INDIRECT("'数据-取费表'!j"&amp;$G$1)</f>
        <v>0</v>
      </c>
      <c r="G43" s="2061"/>
      <c r="H43" s="2061"/>
      <c r="I43" s="2061"/>
      <c r="J43" s="2061"/>
      <c r="K43" s="2082"/>
      <c r="L43" s="2061"/>
      <c r="M43" s="2061"/>
    </row>
    <row r="44" spans="1:18" ht="18" customHeight="1">
      <c r="A44" s="801" t="s">
        <v>1879</v>
      </c>
      <c r="B44" s="833" t="s">
        <v>713</v>
      </c>
      <c r="C44" s="1354">
        <f ca="1">C42-C43</f>
        <v>0</v>
      </c>
      <c r="D44" s="461" t="s">
        <v>714</v>
      </c>
      <c r="E44" s="462"/>
      <c r="F44" s="463"/>
      <c r="G44" s="2061"/>
      <c r="H44" s="2061"/>
      <c r="I44" s="2061"/>
      <c r="J44" s="2061"/>
      <c r="K44" s="2082"/>
      <c r="L44" s="2061"/>
      <c r="M44" s="2061"/>
    </row>
    <row r="45" spans="1:18" ht="18" customHeight="1">
      <c r="A45" s="801" t="s">
        <v>1880</v>
      </c>
      <c r="B45" s="1353" t="s">
        <v>715</v>
      </c>
      <c r="C45" s="3057">
        <f ca="1">ROUND(-PV(F45,F46,C44,0),0)</f>
        <v>0</v>
      </c>
      <c r="D45" s="1355" t="s">
        <v>716</v>
      </c>
      <c r="E45" s="804" t="s">
        <v>717</v>
      </c>
      <c r="F45" s="828">
        <f ca="1">INDIRECT("'数据-取费表'!h"&amp;$G$1)</f>
        <v>0</v>
      </c>
      <c r="G45" s="2061"/>
      <c r="H45" s="2061"/>
      <c r="I45" s="2061"/>
      <c r="J45" s="2061"/>
      <c r="K45" s="2082"/>
      <c r="L45" s="2061"/>
      <c r="M45" s="2061"/>
    </row>
    <row r="46" spans="1:18" ht="18" customHeight="1" thickBot="1">
      <c r="A46" s="829"/>
      <c r="B46" s="1356"/>
      <c r="C46" s="1357"/>
      <c r="D46" s="1358"/>
      <c r="E46" s="3143" t="s">
        <v>2967</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2346</v>
      </c>
      <c r="J47" s="2378"/>
      <c r="K47" s="2379"/>
      <c r="L47" s="2380" t="e">
        <f ca="1">IF(M48="住宅",0,IF(L49&gt;J52,L61,J61))</f>
        <v>#DIV/0!</v>
      </c>
      <c r="O47" s="2417" t="s">
        <v>2414</v>
      </c>
      <c r="P47" s="1590"/>
      <c r="Q47" s="1602"/>
      <c r="R47" s="1590"/>
    </row>
    <row r="48" spans="1:18" s="2058" customFormat="1" ht="18" customHeight="1" thickBot="1">
      <c r="A48" s="2083"/>
      <c r="C48" s="2086"/>
      <c r="D48" s="2087"/>
      <c r="E48" s="2087"/>
      <c r="F48" s="2088"/>
      <c r="G48" s="2089"/>
      <c r="I48" s="2381" t="s">
        <v>2347</v>
      </c>
      <c r="J48" s="2386"/>
      <c r="K48" s="2387" t="s">
        <v>2353</v>
      </c>
      <c r="L48" s="2388">
        <f ca="1">INDIRECT("'数据-取费表'!d"&amp;$G$1)</f>
        <v>50</v>
      </c>
      <c r="M48" s="3138" t="str">
        <f>IF(ISNUMBER(FIND("住宅",C1)),"住宅","非住宅")</f>
        <v>非住宅</v>
      </c>
      <c r="O48" s="2418" t="s">
        <v>2379</v>
      </c>
      <c r="P48" s="2419" t="s">
        <v>2380</v>
      </c>
      <c r="Q48" s="2420" t="s">
        <v>2381</v>
      </c>
      <c r="R48" s="2419" t="s">
        <v>2382</v>
      </c>
    </row>
    <row r="49" spans="1:18" s="2058" customFormat="1" ht="18" customHeight="1" thickBot="1">
      <c r="A49" s="2083"/>
      <c r="D49" s="2090"/>
      <c r="E49" s="2091"/>
      <c r="F49" s="2088"/>
      <c r="G49" s="2089"/>
      <c r="H49" s="2092"/>
      <c r="I49" s="2382" t="s">
        <v>2348</v>
      </c>
      <c r="J49" s="2389"/>
      <c r="K49" s="2390" t="s">
        <v>2355</v>
      </c>
      <c r="L49" s="2391">
        <f ca="1">INDIRECT("'数据-取费表'!f"&amp;$G$1)</f>
        <v>50</v>
      </c>
      <c r="O49" s="2421" t="s">
        <v>2383</v>
      </c>
      <c r="P49" s="2422" t="s">
        <v>2409</v>
      </c>
      <c r="Q49" s="2423">
        <f ca="1">C41+J31</f>
        <v>0</v>
      </c>
      <c r="R49" s="2422" t="s">
        <v>2384</v>
      </c>
    </row>
    <row r="50" spans="1:18" s="2058" customFormat="1" ht="18" customHeight="1" thickBot="1">
      <c r="A50" s="2083"/>
      <c r="D50" s="2093"/>
      <c r="E50" s="2093"/>
      <c r="F50" s="2087"/>
      <c r="G50" s="2094"/>
      <c r="H50" s="2092"/>
      <c r="I50" s="2382" t="s">
        <v>2349</v>
      </c>
      <c r="J50" s="2392"/>
      <c r="K50" s="2393" t="s">
        <v>2356</v>
      </c>
      <c r="L50" s="2394"/>
      <c r="O50" s="2421" t="s">
        <v>2385</v>
      </c>
      <c r="P50" s="2422" t="s">
        <v>2410</v>
      </c>
      <c r="Q50" s="2423" t="str">
        <f ca="1">J61</f>
        <v>0</v>
      </c>
      <c r="R50" s="2422" t="s">
        <v>2386</v>
      </c>
    </row>
    <row r="51" spans="1:18" s="2058" customFormat="1" ht="18" customHeight="1" thickBot="1">
      <c r="A51" s="2095"/>
      <c r="D51" s="2093"/>
      <c r="E51" s="2093"/>
      <c r="F51" s="2084"/>
      <c r="H51" s="2092"/>
      <c r="I51" s="2382" t="s">
        <v>2350</v>
      </c>
      <c r="J51" s="2395">
        <f>SUMPRODUCT((I64:I66=J48)*(J63:L63=J49)*(J64:L66))</f>
        <v>0</v>
      </c>
      <c r="K51" s="2393" t="s">
        <v>2357</v>
      </c>
      <c r="L51" s="2394"/>
      <c r="O51" s="2424" t="s">
        <v>2387</v>
      </c>
      <c r="P51" s="2422" t="s">
        <v>2411</v>
      </c>
      <c r="Q51" s="2423">
        <f ca="1">C31</f>
        <v>0</v>
      </c>
      <c r="R51" s="2422" t="s">
        <v>2384</v>
      </c>
    </row>
    <row r="52" spans="1:18" s="2058" customFormat="1" ht="18" customHeight="1" thickBot="1">
      <c r="A52" s="2095"/>
      <c r="F52" s="2084"/>
      <c r="I52" s="2383" t="s">
        <v>2351</v>
      </c>
      <c r="J52" s="2396">
        <f>IF(J50="",J51,J50+J51-YEAR('数据-取费表'!B3))</f>
        <v>0</v>
      </c>
      <c r="K52" s="2382" t="s">
        <v>2358</v>
      </c>
      <c r="L52" s="2397">
        <f ca="1">ROUND(-PV(INDIRECT("'数据-取费表'!h"&amp;$G$1),L49,(C40-C14*J36),0),0)</f>
        <v>0</v>
      </c>
      <c r="O52" s="2424" t="s">
        <v>2388</v>
      </c>
      <c r="P52" s="2422" t="s">
        <v>2389</v>
      </c>
      <c r="Q52" s="2425" t="e">
        <f ca="1">J59</f>
        <v>#VALUE!</v>
      </c>
      <c r="R52" s="2426"/>
    </row>
    <row r="53" spans="1:18" s="2058" customFormat="1" ht="18" customHeight="1" thickBot="1">
      <c r="A53" s="2095"/>
      <c r="F53" s="2084"/>
      <c r="I53" s="2384" t="s">
        <v>2425</v>
      </c>
      <c r="J53" s="2398"/>
      <c r="K53" s="2384" t="s">
        <v>2424</v>
      </c>
      <c r="L53" s="2398"/>
      <c r="O53" s="2424" t="s">
        <v>2390</v>
      </c>
      <c r="P53" s="2422" t="s">
        <v>2391</v>
      </c>
      <c r="Q53" s="2425">
        <f>J53</f>
        <v>0</v>
      </c>
      <c r="R53" s="2426"/>
    </row>
    <row r="54" spans="1:18" s="2058" customFormat="1" ht="43.5" thickBot="1">
      <c r="A54" s="2095"/>
      <c r="I54" s="2385" t="s">
        <v>2352</v>
      </c>
      <c r="J54" s="2399">
        <f ca="1">IF(M48="住宅",J52,IF(J52&gt;L49,L49-'数据-取费表'!B25,J52))</f>
        <v>0</v>
      </c>
      <c r="K54" s="3691"/>
      <c r="L54" s="3692"/>
      <c r="O54" s="2424" t="s">
        <v>2392</v>
      </c>
      <c r="P54" s="2422" t="s">
        <v>2393</v>
      </c>
      <c r="Q54" s="2423">
        <f ca="1">J54</f>
        <v>0</v>
      </c>
      <c r="R54" s="2422"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2395</v>
      </c>
      <c r="P55" s="2422" t="s">
        <v>2412</v>
      </c>
      <c r="Q55" s="2423">
        <f ca="1">Q49+Q50</f>
        <v>0</v>
      </c>
      <c r="R55" s="2426" t="s">
        <v>2396</v>
      </c>
    </row>
    <row r="56" spans="1:18" s="2058" customFormat="1" ht="16.5" thickBot="1">
      <c r="A56" s="2095"/>
      <c r="B56" s="2096"/>
      <c r="C56" s="2096"/>
      <c r="I56" s="3122" t="s">
        <v>2359</v>
      </c>
      <c r="J56" s="3139" t="e">
        <f ca="1">ROUND(IF(J48="钢混",J58/J51,1-(1-2%)*(J51-J58)/J51),3)</f>
        <v>#VALUE!</v>
      </c>
      <c r="K56" s="2400" t="s">
        <v>2360</v>
      </c>
      <c r="L56" s="2401"/>
      <c r="O56" s="2427" t="s">
        <v>2415</v>
      </c>
      <c r="P56" s="1590"/>
      <c r="Q56" s="1602"/>
      <c r="R56" s="1590"/>
    </row>
    <row r="57" spans="1:18" s="2058" customFormat="1" ht="43.5" thickBot="1">
      <c r="A57" s="2095"/>
      <c r="B57" s="2096"/>
      <c r="C57" s="2096"/>
      <c r="I57" s="2402" t="s">
        <v>2361</v>
      </c>
      <c r="J57" s="3138" t="s">
        <v>1679</v>
      </c>
      <c r="K57" s="2382" t="s">
        <v>2366</v>
      </c>
      <c r="L57" s="2391">
        <f ca="1">IF(L49&lt;J52,"——",L49-J52)</f>
        <v>50</v>
      </c>
      <c r="O57" s="2418" t="s">
        <v>2379</v>
      </c>
      <c r="P57" s="2419" t="s">
        <v>2380</v>
      </c>
      <c r="Q57" s="2420" t="s">
        <v>2381</v>
      </c>
      <c r="R57" s="2419" t="s">
        <v>2382</v>
      </c>
    </row>
    <row r="58" spans="1:18" s="2058" customFormat="1" ht="29.25" thickBot="1">
      <c r="A58" s="2095"/>
      <c r="B58" s="2096"/>
      <c r="C58" s="2096"/>
      <c r="I58" s="2403" t="s">
        <v>2362</v>
      </c>
      <c r="J58" s="2405" t="str">
        <f ca="1">IF(OR(M48="住宅",J52&lt;L49,J57="是"),"——",J52-L49)</f>
        <v>——</v>
      </c>
      <c r="K58" s="2382" t="s">
        <v>2367</v>
      </c>
      <c r="L58" s="2391">
        <f ca="1">IF(L49&lt;J52,"——",IF(L56="比较法",L50,IF(L56="基准地价",L51,L52)))</f>
        <v>0</v>
      </c>
      <c r="O58" s="2421" t="s">
        <v>2383</v>
      </c>
      <c r="P58" s="2422" t="s">
        <v>2409</v>
      </c>
      <c r="Q58" s="2423">
        <f ca="1">C41+J31</f>
        <v>0</v>
      </c>
      <c r="R58" s="2422" t="s">
        <v>2384</v>
      </c>
    </row>
    <row r="59" spans="1:18" s="2058" customFormat="1" ht="29.25" thickBot="1">
      <c r="A59" s="2095"/>
      <c r="B59" s="2096"/>
      <c r="C59" s="2096"/>
      <c r="I59" s="2403" t="s">
        <v>2363</v>
      </c>
      <c r="J59" s="3140" t="e">
        <f ca="1">IF(J56&lt;0.4,0.4,J56)</f>
        <v>#VALUE!</v>
      </c>
      <c r="K59" s="2382" t="s">
        <v>2368</v>
      </c>
      <c r="L59" s="2391">
        <f ca="1">IF(ISERROR(POWER(1+L53,L48-L49)*(POWER(1+L53,L49)-1)/(POWER(1+L53,L48)-1)),0,POWER(1+L53,L48-L49)*(POWER(1+L53,L49)-1)/(POWER(1+L53,L48)-1))</f>
        <v>0</v>
      </c>
      <c r="O59" s="2421" t="s">
        <v>2385</v>
      </c>
      <c r="P59" s="2422" t="s">
        <v>2416</v>
      </c>
      <c r="Q59" s="2423" t="e">
        <f ca="1">L61</f>
        <v>#DIV/0!</v>
      </c>
      <c r="R59" s="2426" t="s">
        <v>2418</v>
      </c>
    </row>
    <row r="60" spans="1:18" s="2058" customFormat="1" ht="29.25" thickBot="1">
      <c r="A60" s="2095"/>
      <c r="B60" s="2096"/>
      <c r="C60" s="2096"/>
      <c r="I60" s="2403" t="s">
        <v>2364</v>
      </c>
      <c r="J60" s="2405" t="str">
        <f ca="1">IF(OR(M48="住宅",J52&lt;L49,J57="是"),"——",ROUND(C30*J59,0))</f>
        <v>——</v>
      </c>
      <c r="K60" s="2382" t="s">
        <v>2369</v>
      </c>
      <c r="L60" s="2391">
        <f ca="1">IF(ISERROR(POWER(1+L53,L48-J52)*(POWER(1+L53,J52)-1)/(POWER(1+L53,L48)-1)),0,POWER(1+L53,L48-J52)*(POWER(1+L53,J52)-1)/(POWER(1+L53,L48)-1))</f>
        <v>0</v>
      </c>
      <c r="O60" s="2424" t="s">
        <v>2387</v>
      </c>
      <c r="P60" s="2422" t="s">
        <v>2417</v>
      </c>
      <c r="Q60" s="2423">
        <f>IF(L56="比较法",L50,IF(L56="基准地价",L51,0))</f>
        <v>0</v>
      </c>
      <c r="R60" s="2422" t="s">
        <v>2384</v>
      </c>
    </row>
    <row r="61" spans="1:18" s="2058" customFormat="1" ht="15.75" thickBot="1">
      <c r="A61" s="2095"/>
      <c r="B61" s="2096"/>
      <c r="C61" s="2096"/>
      <c r="I61" s="2404" t="s">
        <v>2365</v>
      </c>
      <c r="J61" s="2406" t="str">
        <f ca="1">IF(OR(M48="住宅",J52&lt;L49,J57="是"),"0",ROUND(J60/(1+J53)^J54,0))</f>
        <v>0</v>
      </c>
      <c r="K61" s="2407" t="s">
        <v>2370</v>
      </c>
      <c r="L61" s="2406" t="e">
        <f ca="1">IF(OR(M48="住宅",L49&lt;J52),0,ROUND(L58*(L59/L60-1),0))</f>
        <v>#DIV/0!</v>
      </c>
      <c r="O61" s="2424" t="s">
        <v>2388</v>
      </c>
      <c r="P61" s="2422" t="s">
        <v>2397</v>
      </c>
      <c r="Q61" s="2425">
        <f>L53</f>
        <v>0</v>
      </c>
      <c r="R61" s="2426"/>
    </row>
    <row r="62" spans="1:18" s="2058" customFormat="1" ht="20.25" thickBot="1">
      <c r="A62" s="2095"/>
      <c r="B62" s="2096"/>
      <c r="C62" s="2096"/>
      <c r="K62" s="2085"/>
      <c r="O62" s="2424" t="s">
        <v>2390</v>
      </c>
      <c r="P62" s="2422" t="s">
        <v>2398</v>
      </c>
      <c r="Q62" s="2423">
        <f ca="1">L59</f>
        <v>0</v>
      </c>
      <c r="R62" s="2426" t="s">
        <v>2399</v>
      </c>
    </row>
    <row r="63" spans="1:18" s="2058" customFormat="1" ht="20.25" thickBot="1">
      <c r="A63" s="2095"/>
      <c r="B63" s="2096"/>
      <c r="C63" s="2096"/>
      <c r="I63" s="2408" t="s">
        <v>2371</v>
      </c>
      <c r="J63" s="2409" t="s">
        <v>2372</v>
      </c>
      <c r="K63" s="2409" t="s">
        <v>2373</v>
      </c>
      <c r="L63" s="2409" t="s">
        <v>2354</v>
      </c>
      <c r="M63" s="3124" t="s">
        <v>2943</v>
      </c>
      <c r="O63" s="2424" t="s">
        <v>2392</v>
      </c>
      <c r="P63" s="2422" t="s">
        <v>2400</v>
      </c>
      <c r="Q63" s="2423">
        <f ca="1">L60</f>
        <v>0</v>
      </c>
      <c r="R63" s="2426" t="s">
        <v>2401</v>
      </c>
    </row>
    <row r="64" spans="1:18" s="2058" customFormat="1" ht="15.75" thickBot="1">
      <c r="A64" s="2095"/>
      <c r="B64" s="2096"/>
      <c r="C64" s="2096"/>
      <c r="I64" s="2408" t="s">
        <v>2374</v>
      </c>
      <c r="J64" s="2409">
        <v>70</v>
      </c>
      <c r="K64" s="2409">
        <v>50</v>
      </c>
      <c r="L64" s="2409">
        <v>80</v>
      </c>
      <c r="M64" s="3125">
        <v>0.02</v>
      </c>
      <c r="O64" s="2421" t="s">
        <v>2395</v>
      </c>
      <c r="P64" s="2422" t="s">
        <v>2412</v>
      </c>
      <c r="Q64" s="2423" t="e">
        <f ca="1">Q58+Q59</f>
        <v>#DIV/0!</v>
      </c>
      <c r="R64" s="2426" t="s">
        <v>2396</v>
      </c>
    </row>
    <row r="65" spans="1:18" s="2058" customFormat="1" ht="16.5" thickBot="1">
      <c r="A65" s="2095"/>
      <c r="B65" s="2096"/>
      <c r="C65" s="2096"/>
      <c r="I65" s="2408" t="s">
        <v>2375</v>
      </c>
      <c r="J65" s="2409">
        <v>50</v>
      </c>
      <c r="K65" s="2409">
        <v>35</v>
      </c>
      <c r="L65" s="2409">
        <v>60</v>
      </c>
      <c r="M65" s="3126">
        <v>0</v>
      </c>
      <c r="O65" s="2427" t="s">
        <v>2419</v>
      </c>
      <c r="P65" s="1590"/>
      <c r="Q65" s="1602"/>
      <c r="R65" s="1590"/>
    </row>
    <row r="66" spans="1:18" s="2058" customFormat="1" ht="15.75" thickBot="1">
      <c r="A66" s="2095"/>
      <c r="B66" s="2096"/>
      <c r="C66" s="2096"/>
      <c r="I66" s="2408" t="s">
        <v>2376</v>
      </c>
      <c r="J66" s="2409">
        <v>40</v>
      </c>
      <c r="K66" s="2409">
        <v>30</v>
      </c>
      <c r="L66" s="2409">
        <v>50</v>
      </c>
      <c r="M66" s="3125">
        <v>0.02</v>
      </c>
      <c r="O66" s="2418" t="s">
        <v>2379</v>
      </c>
      <c r="P66" s="2419" t="s">
        <v>2380</v>
      </c>
      <c r="Q66" s="2420" t="s">
        <v>2381</v>
      </c>
      <c r="R66" s="2419" t="s">
        <v>2382</v>
      </c>
    </row>
    <row r="67" spans="1:18" s="2058" customFormat="1" ht="15.75" thickBot="1">
      <c r="A67" s="2095"/>
      <c r="B67" s="2096"/>
      <c r="C67" s="2096"/>
      <c r="K67" s="2085"/>
      <c r="O67" s="2421" t="s">
        <v>2383</v>
      </c>
      <c r="P67" s="2422" t="s">
        <v>2409</v>
      </c>
      <c r="Q67" s="2423">
        <f ca="1">C41+J31</f>
        <v>0</v>
      </c>
      <c r="R67" s="2422" t="s">
        <v>2384</v>
      </c>
    </row>
    <row r="68" spans="1:18" s="2058" customFormat="1" ht="20.25" thickBot="1">
      <c r="A68" s="2095"/>
      <c r="B68" s="2096"/>
      <c r="C68" s="2096"/>
      <c r="K68" s="2085"/>
      <c r="O68" s="2421" t="s">
        <v>2385</v>
      </c>
      <c r="P68" s="2422" t="s">
        <v>2416</v>
      </c>
      <c r="Q68" s="2423" t="e">
        <f ca="1">L61</f>
        <v>#DIV/0!</v>
      </c>
      <c r="R68" s="2426" t="s">
        <v>2418</v>
      </c>
    </row>
    <row r="69" spans="1:18" s="2058" customFormat="1" ht="21.75" thickBot="1">
      <c r="A69" s="2095"/>
      <c r="B69" s="2096"/>
      <c r="C69" s="2096"/>
      <c r="K69" s="2085"/>
      <c r="O69" s="2424" t="s">
        <v>2387</v>
      </c>
      <c r="P69" s="2422" t="s">
        <v>2417</v>
      </c>
      <c r="Q69" s="2428">
        <f ca="1">L52</f>
        <v>0</v>
      </c>
      <c r="R69" s="2429" t="s">
        <v>2420</v>
      </c>
    </row>
    <row r="70" spans="1:18" s="2058" customFormat="1" ht="20.25" thickBot="1">
      <c r="A70" s="2095"/>
      <c r="B70" s="2096"/>
      <c r="C70" s="2096"/>
      <c r="K70" s="2085"/>
      <c r="O70" s="2424" t="s">
        <v>2388</v>
      </c>
      <c r="P70" s="2430" t="s">
        <v>2402</v>
      </c>
      <c r="Q70" s="2423">
        <f ca="1">ROUND(Q71-Q72*Q73,0)</f>
        <v>0</v>
      </c>
      <c r="R70" s="2426"/>
    </row>
    <row r="71" spans="1:18" s="2058" customFormat="1" ht="15.75" thickBot="1">
      <c r="A71" s="2095"/>
      <c r="B71" s="2096"/>
      <c r="C71" s="2096"/>
      <c r="K71" s="2085"/>
      <c r="O71" s="2424" t="s">
        <v>2403</v>
      </c>
      <c r="P71" s="2430" t="s">
        <v>2404</v>
      </c>
      <c r="Q71" s="2423">
        <f ca="1">C42</f>
        <v>0</v>
      </c>
      <c r="R71" s="2422" t="s">
        <v>2384</v>
      </c>
    </row>
    <row r="72" spans="1:18" s="2058" customFormat="1" ht="15.75" thickBot="1">
      <c r="A72" s="2095"/>
      <c r="B72" s="2096"/>
      <c r="C72" s="2096"/>
      <c r="K72" s="2085"/>
      <c r="O72" s="2424" t="s">
        <v>2405</v>
      </c>
      <c r="P72" s="2430" t="s">
        <v>2406</v>
      </c>
      <c r="Q72" s="2423">
        <f ca="1">C15</f>
        <v>0</v>
      </c>
      <c r="R72" s="2422" t="s">
        <v>2384</v>
      </c>
    </row>
    <row r="73" spans="1:18" s="2058" customFormat="1" ht="15.75" thickBot="1">
      <c r="A73" s="2095"/>
      <c r="B73" s="2096"/>
      <c r="C73" s="2096"/>
      <c r="K73" s="2085"/>
      <c r="O73" s="2424" t="s">
        <v>2407</v>
      </c>
      <c r="P73" s="2430" t="s">
        <v>2408</v>
      </c>
      <c r="Q73" s="2425">
        <f ca="1">F43</f>
        <v>0</v>
      </c>
      <c r="R73" s="2426"/>
    </row>
    <row r="74" spans="1:18" s="2058" customFormat="1" ht="15.75" thickBot="1">
      <c r="A74" s="2095"/>
      <c r="B74" s="2096"/>
      <c r="C74" s="2096"/>
      <c r="K74" s="2085"/>
      <c r="O74" s="2424" t="s">
        <v>2390</v>
      </c>
      <c r="P74" s="2422" t="s">
        <v>2397</v>
      </c>
      <c r="Q74" s="2425">
        <f>L53</f>
        <v>0</v>
      </c>
      <c r="R74" s="2426"/>
    </row>
    <row r="75" spans="1:18" s="2058" customFormat="1" ht="20.25" thickBot="1">
      <c r="A75" s="2095"/>
      <c r="B75" s="2096"/>
      <c r="C75" s="2096"/>
      <c r="K75" s="2085"/>
      <c r="O75" s="2424" t="s">
        <v>2392</v>
      </c>
      <c r="P75" s="2422" t="s">
        <v>2398</v>
      </c>
      <c r="Q75" s="2423">
        <f ca="1">L59</f>
        <v>0</v>
      </c>
      <c r="R75" s="2426" t="s">
        <v>2399</v>
      </c>
    </row>
    <row r="76" spans="1:18" s="2058" customFormat="1" ht="20.25" thickBot="1">
      <c r="A76" s="2095"/>
      <c r="B76" s="2096"/>
      <c r="C76" s="2096"/>
      <c r="K76" s="2085"/>
      <c r="O76" s="2424" t="s">
        <v>2421</v>
      </c>
      <c r="P76" s="2422" t="s">
        <v>2400</v>
      </c>
      <c r="Q76" s="2423">
        <f ca="1">L60</f>
        <v>0</v>
      </c>
      <c r="R76" s="2426" t="s">
        <v>2401</v>
      </c>
    </row>
    <row r="77" spans="1:18" s="2058" customFormat="1" ht="15.75" thickBot="1">
      <c r="A77" s="2095"/>
      <c r="B77" s="2096"/>
      <c r="C77" s="2096"/>
      <c r="K77" s="2085"/>
      <c r="O77" s="2421" t="s">
        <v>2395</v>
      </c>
      <c r="P77" s="2422" t="s">
        <v>2412</v>
      </c>
      <c r="Q77" s="2423" t="e">
        <f ca="1">Q67+Q68</f>
        <v>#DIV/0!</v>
      </c>
      <c r="R77" s="2426"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4"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7"/>
  <sheetViews>
    <sheetView topLeftCell="H2" zoomScale="80" zoomScaleNormal="80" workbookViewId="0">
      <selection activeCell="W42" sqref="W41:W4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699" t="s">
        <v>2580</v>
      </c>
      <c r="C1" s="3699"/>
      <c r="D1" s="3699"/>
      <c r="E1" s="3699"/>
      <c r="F1" s="3699"/>
      <c r="G1" s="3698" t="s">
        <v>2581</v>
      </c>
      <c r="H1" s="3698"/>
      <c r="I1" s="3698"/>
      <c r="J1" s="3698"/>
      <c r="K1" s="3698"/>
      <c r="L1" s="3698"/>
      <c r="N1" s="3698" t="s">
        <v>2582</v>
      </c>
      <c r="O1" s="3698"/>
      <c r="P1" s="3698"/>
      <c r="Q1" s="3698"/>
      <c r="R1" s="2675"/>
      <c r="S1" s="3698" t="s">
        <v>2583</v>
      </c>
      <c r="T1" s="3698"/>
      <c r="U1" s="3698"/>
      <c r="V1" s="3698"/>
      <c r="X1" s="3697" t="s">
        <v>2643</v>
      </c>
      <c r="Y1" s="3698"/>
      <c r="Z1" s="3698"/>
      <c r="AA1" s="3698"/>
      <c r="AB1" s="3698"/>
      <c r="AD1" s="3697" t="s">
        <v>2647</v>
      </c>
      <c r="AE1" s="3698"/>
      <c r="AF1" s="3698"/>
      <c r="AG1" s="3698"/>
      <c r="AH1" s="3698"/>
    </row>
    <row r="2" spans="1:34" s="2777" customFormat="1" ht="14.25" thickBot="1">
      <c r="B2" s="2784" t="s">
        <v>2584</v>
      </c>
      <c r="C2" s="2784" t="s">
        <v>2645</v>
      </c>
      <c r="D2" s="2778" t="s">
        <v>1645</v>
      </c>
      <c r="E2" s="2778" t="s">
        <v>1952</v>
      </c>
      <c r="F2" s="2784" t="s">
        <v>2646</v>
      </c>
      <c r="G2" s="2781"/>
      <c r="H2" s="2780"/>
      <c r="I2" s="2784" t="s">
        <v>2958</v>
      </c>
      <c r="J2" s="2778" t="s">
        <v>2960</v>
      </c>
      <c r="K2" s="2778" t="s">
        <v>2961</v>
      </c>
      <c r="L2" s="2784" t="s">
        <v>2962</v>
      </c>
      <c r="N2" s="2784" t="s">
        <v>2584</v>
      </c>
      <c r="O2" s="2778" t="s">
        <v>2959</v>
      </c>
      <c r="P2" s="2778" t="s">
        <v>1952</v>
      </c>
      <c r="Q2" s="2784" t="s">
        <v>2646</v>
      </c>
      <c r="R2" s="2779"/>
      <c r="S2" s="2784" t="s">
        <v>2584</v>
      </c>
      <c r="T2" s="2778" t="s">
        <v>2959</v>
      </c>
      <c r="U2" s="2778" t="s">
        <v>1952</v>
      </c>
      <c r="V2" s="2784" t="s">
        <v>2646</v>
      </c>
      <c r="X2" s="2784" t="s">
        <v>2584</v>
      </c>
      <c r="Y2" s="2784" t="s">
        <v>2645</v>
      </c>
      <c r="Z2" s="2778" t="s">
        <v>1645</v>
      </c>
      <c r="AA2" s="2778" t="s">
        <v>1952</v>
      </c>
      <c r="AB2" s="2784" t="s">
        <v>2646</v>
      </c>
      <c r="AD2" s="2784" t="s">
        <v>2584</v>
      </c>
      <c r="AE2" s="2784" t="s">
        <v>2645</v>
      </c>
      <c r="AF2" s="2778" t="s">
        <v>1645</v>
      </c>
      <c r="AG2" s="2778" t="s">
        <v>1952</v>
      </c>
      <c r="AH2" s="2784" t="s">
        <v>2646</v>
      </c>
    </row>
    <row r="3" spans="1:34" s="3152" customFormat="1" ht="14.25">
      <c r="A3" s="3164" t="s">
        <v>2971</v>
      </c>
      <c r="B3" s="3153"/>
      <c r="C3" s="3153"/>
      <c r="D3" s="3154"/>
      <c r="E3" s="3154"/>
      <c r="F3" s="3153"/>
      <c r="G3" s="3155"/>
      <c r="H3" s="3156"/>
      <c r="I3" s="3163">
        <f>ROUND(AVERAGE($I9:$I24),2)</f>
        <v>2.4500000000000002</v>
      </c>
      <c r="J3" s="3163">
        <f>ROUND(AVERAGE($J9:$J24),2)</f>
        <v>1.65</v>
      </c>
      <c r="K3" s="3163">
        <f>ROUND(AVERAGE($K9:$K24),2)</f>
        <v>2.71</v>
      </c>
      <c r="L3" s="3163">
        <f>ROUND(AVERAGE($L9:$L24),2)</f>
        <v>1.39</v>
      </c>
      <c r="N3" s="3155"/>
      <c r="O3" s="3157"/>
      <c r="P3" s="3157"/>
      <c r="Q3" s="3157"/>
      <c r="R3" s="3157"/>
      <c r="S3" s="3155"/>
      <c r="T3" s="3157"/>
      <c r="U3" s="3157"/>
      <c r="V3" s="3157"/>
      <c r="W3" s="3160"/>
      <c r="X3" s="3158">
        <f>ROUND(SUMPRODUCT(PRODUCT(1+N3:N$23)),4)</f>
        <v>1.4956</v>
      </c>
      <c r="Y3" s="3158">
        <f>ROUND(SUMPRODUCT(PRODUCT(1+O3:O$23)),4)</f>
        <v>1.3237000000000001</v>
      </c>
      <c r="Z3" s="3158">
        <f t="shared" ref="Z3:Z21" si="0">Y3</f>
        <v>1.3237000000000001</v>
      </c>
      <c r="AA3" s="3158">
        <f>ROUND(SUMPRODUCT(PRODUCT(1+P3:P$23)),4)</f>
        <v>1.554</v>
      </c>
      <c r="AB3" s="3158">
        <f>ROUND(SUMPRODUCT(PRODUCT(1+Q3:Q$23)),4)</f>
        <v>1.3087</v>
      </c>
      <c r="AD3" s="3159">
        <f>ROUND(AVERAGE(I3:I$24)/100,4)</f>
        <v>2.1999999999999999E-2</v>
      </c>
      <c r="AE3" s="3159">
        <f>ROUND(AVERAGE(J3:J$24)/100,4)</f>
        <v>1.54E-2</v>
      </c>
      <c r="AF3" s="3159">
        <f t="shared" ref="AF3:AF22" si="1">AE3</f>
        <v>1.54E-2</v>
      </c>
      <c r="AG3" s="3159">
        <f>ROUND(AVERAGE(K3:K$24)/100,4)</f>
        <v>2.4199999999999999E-2</v>
      </c>
      <c r="AH3" s="3159">
        <f>ROUND(AVERAGE(L3:L$24)/100,4)</f>
        <v>1.4200000000000001E-2</v>
      </c>
    </row>
    <row r="4" spans="1:34" s="2770" customFormat="1" ht="14.25">
      <c r="B4" s="2771"/>
      <c r="C4" s="2771"/>
      <c r="D4" s="2772"/>
      <c r="E4" s="2772"/>
      <c r="F4" s="2771"/>
      <c r="G4" s="2776"/>
      <c r="H4" s="2773"/>
      <c r="I4" s="3146"/>
      <c r="J4" s="3146"/>
      <c r="K4" s="3146"/>
      <c r="L4" s="3146"/>
      <c r="N4" s="2776"/>
      <c r="O4" s="2774"/>
      <c r="P4" s="2774"/>
      <c r="Q4" s="2774"/>
      <c r="R4" s="2774"/>
      <c r="S4" s="2776"/>
      <c r="T4" s="2774"/>
      <c r="U4" s="2774"/>
      <c r="V4" s="2774"/>
      <c r="W4" s="3161"/>
      <c r="X4" s="2775"/>
      <c r="Y4" s="2775"/>
      <c r="Z4" s="2775"/>
      <c r="AA4" s="2775"/>
      <c r="AB4" s="2775"/>
      <c r="AD4" s="2695"/>
      <c r="AE4" s="2695"/>
      <c r="AF4" s="2695"/>
      <c r="AG4" s="2695"/>
      <c r="AH4" s="2695"/>
    </row>
    <row r="5" spans="1:34" s="3263" customFormat="1">
      <c r="A5" s="3258" t="s">
        <v>3114</v>
      </c>
      <c r="B5" s="3259">
        <f t="shared" ref="B5:C8" si="2">B6*(1+N5)</f>
        <v>459.95733971036987</v>
      </c>
      <c r="C5" s="3259">
        <f t="shared" si="2"/>
        <v>341.22221064422405</v>
      </c>
      <c r="D5" s="3259">
        <f t="shared" ref="D5:D8" si="3">C5</f>
        <v>341.22221064422405</v>
      </c>
      <c r="E5" s="3259">
        <f t="shared" ref="E5:F8" si="4">E6*(1+P5)</f>
        <v>657.19161663724799</v>
      </c>
      <c r="F5" s="3259">
        <f t="shared" si="4"/>
        <v>300.87803644464805</v>
      </c>
      <c r="G5" s="3260">
        <v>2018</v>
      </c>
      <c r="H5" s="3261">
        <v>4</v>
      </c>
      <c r="I5" s="3262">
        <v>0</v>
      </c>
      <c r="J5" s="3262">
        <v>0</v>
      </c>
      <c r="K5" s="3262">
        <v>0</v>
      </c>
      <c r="L5" s="3262">
        <v>0</v>
      </c>
      <c r="N5" s="3264">
        <f>I5/100</f>
        <v>0</v>
      </c>
      <c r="O5" s="3264">
        <f t="shared" ref="O5:Q8" si="5">J5/100</f>
        <v>0</v>
      </c>
      <c r="P5" s="3264">
        <f t="shared" si="5"/>
        <v>0</v>
      </c>
      <c r="Q5" s="3264">
        <f t="shared" si="5"/>
        <v>0</v>
      </c>
      <c r="R5" s="3265"/>
      <c r="S5" s="3266"/>
      <c r="T5" s="3265"/>
      <c r="U5" s="3265"/>
      <c r="V5" s="3265"/>
      <c r="W5" s="3162" t="s">
        <v>3115</v>
      </c>
      <c r="X5" s="3267">
        <f>ROUND(SUMPRODUCT(PRODUCT(1+N5:N$23)),4)</f>
        <v>1.4956</v>
      </c>
      <c r="Y5" s="3267">
        <f>ROUND(SUMPRODUCT(PRODUCT(1+O6:O$24)),4)</f>
        <v>1.3547</v>
      </c>
      <c r="Z5" s="3267">
        <f t="shared" ref="Z5:Z8" si="6">Y5</f>
        <v>1.3547</v>
      </c>
      <c r="AA5" s="3267">
        <f>ROUND(SUMPRODUCT(PRODUCT(1+P5:P$23)),4)</f>
        <v>1.554</v>
      </c>
      <c r="AB5" s="3267">
        <f>ROUND(SUMPRODUCT(PRODUCT(1+Q5:Q$23)),4)</f>
        <v>1.3087</v>
      </c>
      <c r="AD5" s="3268">
        <f>ROUND(AVERAGE(I5:I$24)/100,4)</f>
        <v>2.1899999999999999E-2</v>
      </c>
      <c r="AE5" s="3268">
        <f>ROUND(AVERAGE(J5:J$24)/100,4)</f>
        <v>1.5299999999999999E-2</v>
      </c>
      <c r="AF5" s="3268">
        <f t="shared" ref="AF5:AF8" si="7">AE5</f>
        <v>1.5299999999999999E-2</v>
      </c>
      <c r="AG5" s="3268">
        <f>ROUND(AVERAGE(K5:K$24)/100,4)</f>
        <v>2.41E-2</v>
      </c>
      <c r="AH5" s="3268">
        <f>ROUND(AVERAGE(L5:L$24)/100,4)</f>
        <v>1.4200000000000001E-2</v>
      </c>
    </row>
    <row r="6" spans="1:34" s="3281" customFormat="1" ht="13.5" thickBot="1">
      <c r="A6" s="3269" t="s">
        <v>3116</v>
      </c>
      <c r="B6" s="3270">
        <f t="shared" si="2"/>
        <v>459.95733971036987</v>
      </c>
      <c r="C6" s="3270">
        <f t="shared" si="2"/>
        <v>341.22221064422405</v>
      </c>
      <c r="D6" s="3270">
        <f t="shared" si="3"/>
        <v>341.22221064422405</v>
      </c>
      <c r="E6" s="3270">
        <f t="shared" si="4"/>
        <v>657.19161663724799</v>
      </c>
      <c r="F6" s="3270">
        <f t="shared" si="4"/>
        <v>300.87803644464805</v>
      </c>
      <c r="G6" s="3271"/>
      <c r="H6" s="3272">
        <v>3</v>
      </c>
      <c r="I6" s="3272">
        <v>1.51</v>
      </c>
      <c r="J6" s="3272">
        <v>1.41</v>
      </c>
      <c r="K6" s="3272">
        <v>1.52</v>
      </c>
      <c r="L6" s="3273">
        <v>1.74</v>
      </c>
      <c r="M6" s="3274"/>
      <c r="N6" s="3275">
        <f>I6/100</f>
        <v>1.5100000000000001E-2</v>
      </c>
      <c r="O6" s="3276">
        <f t="shared" si="5"/>
        <v>1.41E-2</v>
      </c>
      <c r="P6" s="3276">
        <f t="shared" si="5"/>
        <v>1.52E-2</v>
      </c>
      <c r="Q6" s="3276">
        <f t="shared" si="5"/>
        <v>1.7399999999999999E-2</v>
      </c>
      <c r="R6" s="3277"/>
      <c r="S6" s="3275"/>
      <c r="T6" s="3276"/>
      <c r="U6" s="3276"/>
      <c r="V6" s="3276"/>
      <c r="W6" s="3278"/>
      <c r="X6" s="3279">
        <f>ROUND(SUMPRODUCT(PRODUCT(1+N6:N$23)),4)</f>
        <v>1.4956</v>
      </c>
      <c r="Y6" s="3279">
        <f>ROUND(SUMPRODUCT(PRODUCT(1+O6:O$23)),4)</f>
        <v>1.3237000000000001</v>
      </c>
      <c r="Z6" s="3279">
        <f t="shared" si="6"/>
        <v>1.3237000000000001</v>
      </c>
      <c r="AA6" s="3279">
        <f>ROUND(SUMPRODUCT(PRODUCT(1+P6:P$23)),4)</f>
        <v>1.554</v>
      </c>
      <c r="AB6" s="3279">
        <f>ROUND(SUMPRODUCT(PRODUCT(1+Q6:Q$23)),4)</f>
        <v>1.3087</v>
      </c>
      <c r="AC6" s="3278"/>
      <c r="AD6" s="3280">
        <f>ROUND(AVERAGE(I6:I$24)/100,4)</f>
        <v>2.3099999999999999E-2</v>
      </c>
      <c r="AE6" s="3280">
        <f>ROUND(AVERAGE(J6:J$24)/100,4)</f>
        <v>1.61E-2</v>
      </c>
      <c r="AF6" s="3280">
        <f t="shared" si="7"/>
        <v>1.61E-2</v>
      </c>
      <c r="AG6" s="3280">
        <f>ROUND(AVERAGE(K6:K$24)/100,4)</f>
        <v>2.53E-2</v>
      </c>
      <c r="AH6" s="3280">
        <f>ROUND(AVERAGE(L6:L$24)/100,4)</f>
        <v>1.4999999999999999E-2</v>
      </c>
    </row>
    <row r="7" spans="1:34" s="3281" customFormat="1" ht="13.5" thickBot="1">
      <c r="A7" s="3269" t="s">
        <v>3117</v>
      </c>
      <c r="B7" s="3270">
        <f t="shared" si="2"/>
        <v>453.11529869999993</v>
      </c>
      <c r="C7" s="3270">
        <f t="shared" si="2"/>
        <v>336.47787264000004</v>
      </c>
      <c r="D7" s="3270">
        <f t="shared" si="3"/>
        <v>336.47787264000004</v>
      </c>
      <c r="E7" s="3270">
        <f t="shared" si="4"/>
        <v>647.35186823999993</v>
      </c>
      <c r="F7" s="3270">
        <f t="shared" si="4"/>
        <v>295.73229452000004</v>
      </c>
      <c r="G7" s="3271"/>
      <c r="H7" s="3272">
        <v>2</v>
      </c>
      <c r="I7" s="3272">
        <v>1.49</v>
      </c>
      <c r="J7" s="3272">
        <v>0.96</v>
      </c>
      <c r="K7" s="3272">
        <v>1.58</v>
      </c>
      <c r="L7" s="3273">
        <v>2.44</v>
      </c>
      <c r="M7" s="3274"/>
      <c r="N7" s="3275">
        <f t="shared" ref="N7:N8" si="8">I7/100</f>
        <v>1.49E-2</v>
      </c>
      <c r="O7" s="3276">
        <f t="shared" si="5"/>
        <v>9.5999999999999992E-3</v>
      </c>
      <c r="P7" s="3276">
        <f t="shared" si="5"/>
        <v>1.5800000000000002E-2</v>
      </c>
      <c r="Q7" s="3276">
        <f t="shared" si="5"/>
        <v>2.4399999999999998E-2</v>
      </c>
      <c r="R7" s="3277"/>
      <c r="S7" s="3275"/>
      <c r="T7" s="3276"/>
      <c r="U7" s="3276"/>
      <c r="V7" s="3276"/>
      <c r="W7" s="3278"/>
      <c r="X7" s="3279">
        <f>ROUND(SUMPRODUCT(PRODUCT(1+N7:N$23)),4)</f>
        <v>1.4733000000000001</v>
      </c>
      <c r="Y7" s="3279">
        <f>ROUND(SUMPRODUCT(PRODUCT(1+O7:O$23)),4)</f>
        <v>1.3052999999999999</v>
      </c>
      <c r="Z7" s="3279">
        <f t="shared" si="6"/>
        <v>1.3052999999999999</v>
      </c>
      <c r="AA7" s="3279">
        <f>ROUND(SUMPRODUCT(PRODUCT(1+P7:P$23)),4)</f>
        <v>1.5306999999999999</v>
      </c>
      <c r="AB7" s="3279">
        <f>ROUND(SUMPRODUCT(PRODUCT(1+Q7:Q$23)),4)</f>
        <v>1.2863</v>
      </c>
      <c r="AC7" s="3278"/>
      <c r="AD7" s="3280">
        <f>ROUND(AVERAGE(I7:I$24)/100,4)</f>
        <v>2.35E-2</v>
      </c>
      <c r="AE7" s="3280">
        <f>ROUND(AVERAGE(J7:J$24)/100,4)</f>
        <v>1.6199999999999999E-2</v>
      </c>
      <c r="AF7" s="3280">
        <f t="shared" si="7"/>
        <v>1.6199999999999999E-2</v>
      </c>
      <c r="AG7" s="3280">
        <f>ROUND(AVERAGE(K7:K$24)/100,4)</f>
        <v>2.5899999999999999E-2</v>
      </c>
      <c r="AH7" s="3280">
        <f>ROUND(AVERAGE(L7:L$24)/100,4)</f>
        <v>1.49E-2</v>
      </c>
    </row>
    <row r="8" spans="1:34" s="3281" customFormat="1" ht="13.5" thickBot="1">
      <c r="A8" s="3269" t="s">
        <v>3118</v>
      </c>
      <c r="B8" s="3270">
        <f t="shared" si="2"/>
        <v>446.46299999999997</v>
      </c>
      <c r="C8" s="3270">
        <f t="shared" si="2"/>
        <v>333.27840000000003</v>
      </c>
      <c r="D8" s="3270">
        <f t="shared" si="3"/>
        <v>333.27840000000003</v>
      </c>
      <c r="E8" s="3270">
        <f t="shared" si="4"/>
        <v>637.28279999999995</v>
      </c>
      <c r="F8" s="3270">
        <f t="shared" si="4"/>
        <v>288.68830000000003</v>
      </c>
      <c r="G8" s="3271"/>
      <c r="H8" s="3272">
        <v>1</v>
      </c>
      <c r="I8" s="3272">
        <v>1.7</v>
      </c>
      <c r="J8" s="3272">
        <v>1.92</v>
      </c>
      <c r="K8" s="3272">
        <v>1.64</v>
      </c>
      <c r="L8" s="3273">
        <v>2.0099999999999998</v>
      </c>
      <c r="M8" s="3274"/>
      <c r="N8" s="3275">
        <f t="shared" si="8"/>
        <v>1.7000000000000001E-2</v>
      </c>
      <c r="O8" s="3276">
        <f t="shared" si="5"/>
        <v>1.9199999999999998E-2</v>
      </c>
      <c r="P8" s="3276">
        <f t="shared" si="5"/>
        <v>1.6399999999999998E-2</v>
      </c>
      <c r="Q8" s="3276">
        <f t="shared" si="5"/>
        <v>2.0099999999999996E-2</v>
      </c>
      <c r="R8" s="3277"/>
      <c r="S8" s="3275">
        <f>B8/B9-1</f>
        <v>1.6999999999999904E-2</v>
      </c>
      <c r="T8" s="3276">
        <f t="shared" ref="T8:V8" si="9">C8/C9-1</f>
        <v>1.9200000000000106E-2</v>
      </c>
      <c r="U8" s="3276">
        <f t="shared" si="9"/>
        <v>1.9200000000000106E-2</v>
      </c>
      <c r="V8" s="3276">
        <f t="shared" si="9"/>
        <v>1.639999999999997E-2</v>
      </c>
      <c r="W8" s="3278"/>
      <c r="X8" s="3279">
        <f>ROUND(SUMPRODUCT(PRODUCT(1+N8:N$23)),4)</f>
        <v>1.4517</v>
      </c>
      <c r="Y8" s="3279">
        <f>ROUND(SUMPRODUCT(PRODUCT(1+O8:O$23)),4)</f>
        <v>1.2928999999999999</v>
      </c>
      <c r="Z8" s="3279">
        <f t="shared" si="6"/>
        <v>1.2928999999999999</v>
      </c>
      <c r="AA8" s="3279">
        <f>ROUND(SUMPRODUCT(PRODUCT(1+P8:P$23)),4)</f>
        <v>1.5068999999999999</v>
      </c>
      <c r="AB8" s="3279">
        <f>ROUND(SUMPRODUCT(PRODUCT(1+Q8:Q$23)),4)</f>
        <v>1.2557</v>
      </c>
      <c r="AC8" s="3278"/>
      <c r="AD8" s="3280">
        <f>ROUND(AVERAGE(I8:I$24)/100,4)</f>
        <v>2.4E-2</v>
      </c>
      <c r="AE8" s="3280">
        <f>ROUND(AVERAGE(J8:J$24)/100,4)</f>
        <v>1.66E-2</v>
      </c>
      <c r="AF8" s="3280">
        <f t="shared" si="7"/>
        <v>1.66E-2</v>
      </c>
      <c r="AG8" s="3280">
        <f>ROUND(AVERAGE(K8:K$24)/100,4)</f>
        <v>2.6499999999999999E-2</v>
      </c>
      <c r="AH8" s="3280">
        <f>ROUND(AVERAGE(L8:L$24)/100,4)</f>
        <v>1.43E-2</v>
      </c>
    </row>
    <row r="9" spans="1:34">
      <c r="A9" s="2676" t="s">
        <v>2969</v>
      </c>
      <c r="B9" s="3166">
        <v>439</v>
      </c>
      <c r="C9" s="3166">
        <v>327</v>
      </c>
      <c r="D9" s="3166">
        <f t="shared" ref="D9:D13" si="10">C9</f>
        <v>327</v>
      </c>
      <c r="E9" s="3166">
        <v>627</v>
      </c>
      <c r="F9" s="3167">
        <v>283</v>
      </c>
      <c r="G9" s="3149">
        <v>2017</v>
      </c>
      <c r="H9" s="2677">
        <v>4</v>
      </c>
      <c r="I9" s="2677">
        <v>1.71</v>
      </c>
      <c r="J9" s="2677">
        <v>1.78</v>
      </c>
      <c r="K9" s="2677">
        <v>1.71</v>
      </c>
      <c r="L9" s="2678">
        <v>1.43</v>
      </c>
      <c r="N9" s="2685">
        <f t="shared" ref="N9:N13" si="11">I9/100</f>
        <v>1.7100000000000001E-2</v>
      </c>
      <c r="O9" s="2686">
        <f t="shared" ref="O9" si="12">J9/100</f>
        <v>1.78E-2</v>
      </c>
      <c r="P9" s="2686">
        <f t="shared" ref="P9" si="13">K9/100</f>
        <v>1.7100000000000001E-2</v>
      </c>
      <c r="Q9" s="2686">
        <f t="shared" ref="Q9" si="14">L9/100</f>
        <v>1.43E-2</v>
      </c>
      <c r="R9" s="2687"/>
      <c r="S9" s="2688"/>
      <c r="T9" s="2689"/>
      <c r="U9" s="2689"/>
      <c r="V9" s="2689"/>
      <c r="X9" s="2775">
        <f>ROUND(SUMPRODUCT(PRODUCT(1+N9:N$23)),4)</f>
        <v>1.4274</v>
      </c>
      <c r="Y9" s="2775">
        <f>ROUND(SUMPRODUCT(PRODUCT(1+O9:O$23)),4)</f>
        <v>1.2685</v>
      </c>
      <c r="Z9" s="2775">
        <f t="shared" si="0"/>
        <v>1.2685</v>
      </c>
      <c r="AA9" s="2775">
        <f>ROUND(SUMPRODUCT(PRODUCT(1+P9:P$23)),4)</f>
        <v>1.4825999999999999</v>
      </c>
      <c r="AB9" s="2775">
        <f>ROUND(SUMPRODUCT(PRODUCT(1+Q9:Q$23)),4)</f>
        <v>1.2309000000000001</v>
      </c>
      <c r="AD9" s="2695">
        <f>ROUND(AVERAGE(I9:I$24)/100,4)</f>
        <v>2.4500000000000001E-2</v>
      </c>
      <c r="AE9" s="2695">
        <f>ROUND(AVERAGE(J9:J$24)/100,4)</f>
        <v>1.6500000000000001E-2</v>
      </c>
      <c r="AF9" s="2695">
        <f t="shared" si="1"/>
        <v>1.6500000000000001E-2</v>
      </c>
      <c r="AG9" s="2695">
        <f>ROUND(AVERAGE(K9:K$24)/100,4)</f>
        <v>2.7099999999999999E-2</v>
      </c>
      <c r="AH9" s="2695">
        <f>ROUND(AVERAGE(L9:L$24)/100,4)</f>
        <v>1.3899999999999999E-2</v>
      </c>
    </row>
    <row r="10" spans="1:34" s="2782" customFormat="1" ht="13.5" thickBot="1">
      <c r="A10" s="2676" t="s">
        <v>2972</v>
      </c>
      <c r="B10" s="2690">
        <f t="shared" ref="B10:C12" si="15">B11*(1+N10)</f>
        <v>431.80730811680002</v>
      </c>
      <c r="C10" s="2690">
        <f t="shared" si="15"/>
        <v>320.57880516480003</v>
      </c>
      <c r="D10" s="2690">
        <f t="shared" si="10"/>
        <v>320.57880516480003</v>
      </c>
      <c r="E10" s="2690">
        <f t="shared" ref="E10:F12" si="16">E11*(1+P10)</f>
        <v>615.96110553196797</v>
      </c>
      <c r="F10" s="2690">
        <f t="shared" si="16"/>
        <v>279.46777300108801</v>
      </c>
      <c r="G10" s="3151"/>
      <c r="H10" s="2680">
        <v>3</v>
      </c>
      <c r="I10" s="2680">
        <v>2.98</v>
      </c>
      <c r="J10" s="2680">
        <v>2.11</v>
      </c>
      <c r="K10" s="2680">
        <v>3.24</v>
      </c>
      <c r="L10" s="2691">
        <v>1.72</v>
      </c>
      <c r="M10" s="2684"/>
      <c r="N10" s="2685">
        <f t="shared" si="11"/>
        <v>2.98E-2</v>
      </c>
      <c r="O10" s="2686">
        <f t="shared" ref="O10:O11" si="17">J10/100</f>
        <v>2.1099999999999997E-2</v>
      </c>
      <c r="P10" s="2686">
        <f t="shared" ref="P10:P11" si="18">K10/100</f>
        <v>3.2400000000000005E-2</v>
      </c>
      <c r="Q10" s="2686">
        <f t="shared" ref="Q10:Q11" si="19">L10/100</f>
        <v>1.72E-2</v>
      </c>
      <c r="R10" s="2687"/>
      <c r="S10" s="2693"/>
      <c r="T10" s="2694"/>
      <c r="U10" s="2694"/>
      <c r="V10" s="2694"/>
      <c r="W10" s="2684"/>
      <c r="X10" s="2775">
        <f>ROUND(SUMPRODUCT(PRODUCT(1+N10:N$23)),4)</f>
        <v>1.4034</v>
      </c>
      <c r="Y10" s="2775">
        <f>ROUND(SUMPRODUCT(PRODUCT(1+O10:O$23)),4)</f>
        <v>1.2463</v>
      </c>
      <c r="Z10" s="2775">
        <f t="shared" si="0"/>
        <v>1.2463</v>
      </c>
      <c r="AA10" s="2775">
        <f>ROUND(SUMPRODUCT(PRODUCT(1+P10:P$23)),4)</f>
        <v>1.4577</v>
      </c>
      <c r="AB10" s="2775">
        <f>ROUND(SUMPRODUCT(PRODUCT(1+Q10:Q$23)),4)</f>
        <v>1.2136</v>
      </c>
      <c r="AC10" s="2684"/>
      <c r="AD10" s="2695">
        <f>ROUND(AVERAGE(I10:I$24)/100,4)</f>
        <v>2.4899999999999999E-2</v>
      </c>
      <c r="AE10" s="2695">
        <f>ROUND(AVERAGE(J10:J$24)/100,4)</f>
        <v>1.6400000000000001E-2</v>
      </c>
      <c r="AF10" s="2695">
        <f t="shared" si="1"/>
        <v>1.6400000000000001E-2</v>
      </c>
      <c r="AG10" s="2695">
        <f>ROUND(AVERAGE(K10:K$24)/100,4)</f>
        <v>2.7799999999999998E-2</v>
      </c>
      <c r="AH10" s="2695">
        <f>ROUND(AVERAGE(L10:L$24)/100,4)</f>
        <v>1.3899999999999999E-2</v>
      </c>
    </row>
    <row r="11" spans="1:34" s="2674" customFormat="1">
      <c r="A11" s="2676" t="s">
        <v>2585</v>
      </c>
      <c r="B11" s="2690">
        <f t="shared" si="15"/>
        <v>419.31181600000002</v>
      </c>
      <c r="C11" s="2690">
        <f t="shared" si="15"/>
        <v>313.95436800000004</v>
      </c>
      <c r="D11" s="2690">
        <f t="shared" si="10"/>
        <v>313.95436800000004</v>
      </c>
      <c r="E11" s="2690">
        <f t="shared" si="16"/>
        <v>596.63028431999999</v>
      </c>
      <c r="F11" s="2690">
        <f t="shared" si="16"/>
        <v>274.74220703999998</v>
      </c>
      <c r="G11" s="3150"/>
      <c r="H11" s="2681">
        <v>2</v>
      </c>
      <c r="I11" s="2681">
        <v>3.4</v>
      </c>
      <c r="J11" s="2681">
        <v>2</v>
      </c>
      <c r="K11" s="2681">
        <v>3.82</v>
      </c>
      <c r="L11" s="2692">
        <v>1.68</v>
      </c>
      <c r="N11" s="2685">
        <f t="shared" si="11"/>
        <v>3.4000000000000002E-2</v>
      </c>
      <c r="O11" s="2686">
        <f t="shared" si="17"/>
        <v>0.02</v>
      </c>
      <c r="P11" s="2686">
        <f t="shared" si="18"/>
        <v>3.8199999999999998E-2</v>
      </c>
      <c r="Q11" s="2686">
        <f t="shared" si="19"/>
        <v>1.6799999999999999E-2</v>
      </c>
      <c r="R11" s="2675"/>
      <c r="S11" s="2679"/>
      <c r="T11" s="2675"/>
      <c r="U11" s="2675"/>
      <c r="V11" s="2675"/>
      <c r="X11" s="2775">
        <f>ROUND(SUMPRODUCT(PRODUCT(1+N11:N$23)),4)</f>
        <v>1.3628</v>
      </c>
      <c r="Y11" s="2775">
        <f>ROUND(SUMPRODUCT(PRODUCT(1+O11:O$23)),4)</f>
        <v>1.2205999999999999</v>
      </c>
      <c r="Z11" s="2775">
        <f t="shared" si="0"/>
        <v>1.2205999999999999</v>
      </c>
      <c r="AA11" s="2775">
        <f>ROUND(SUMPRODUCT(PRODUCT(1+P11:P$23)),4)</f>
        <v>1.4118999999999999</v>
      </c>
      <c r="AB11" s="2775">
        <f>ROUND(SUMPRODUCT(PRODUCT(1+Q11:Q$23)),4)</f>
        <v>1.1930000000000001</v>
      </c>
      <c r="AD11" s="2695">
        <f>ROUND(AVERAGE(I11:I$24)/100,4)</f>
        <v>2.46E-2</v>
      </c>
      <c r="AE11" s="2695">
        <f>ROUND(AVERAGE(J11:J$24)/100,4)</f>
        <v>1.6E-2</v>
      </c>
      <c r="AF11" s="2695">
        <f t="shared" si="1"/>
        <v>1.6E-2</v>
      </c>
      <c r="AG11" s="2695">
        <f>ROUND(AVERAGE(K11:K$24)/100,4)</f>
        <v>2.75E-2</v>
      </c>
      <c r="AH11" s="2695">
        <f>ROUND(AVERAGE(L11:L$24)/100,4)</f>
        <v>1.37E-2</v>
      </c>
    </row>
    <row r="12" spans="1:34" s="2782" customFormat="1" ht="13.5" thickBot="1">
      <c r="A12" s="2676" t="s">
        <v>2586</v>
      </c>
      <c r="B12" s="2690">
        <f t="shared" si="15"/>
        <v>405.524</v>
      </c>
      <c r="C12" s="2690">
        <f t="shared" si="15"/>
        <v>307.79840000000002</v>
      </c>
      <c r="D12" s="2690">
        <f t="shared" si="10"/>
        <v>307.79840000000002</v>
      </c>
      <c r="E12" s="2690">
        <f t="shared" si="16"/>
        <v>574.67759999999998</v>
      </c>
      <c r="F12" s="2690">
        <f t="shared" si="16"/>
        <v>270.20280000000002</v>
      </c>
      <c r="G12" s="3151"/>
      <c r="H12" s="2680">
        <v>1</v>
      </c>
      <c r="I12" s="2680">
        <v>3.45</v>
      </c>
      <c r="J12" s="2680">
        <v>1.92</v>
      </c>
      <c r="K12" s="2680">
        <v>3.92</v>
      </c>
      <c r="L12" s="2691">
        <v>1.58</v>
      </c>
      <c r="M12" s="2684"/>
      <c r="N12" s="2685">
        <f t="shared" si="11"/>
        <v>3.4500000000000003E-2</v>
      </c>
      <c r="O12" s="2686">
        <f t="shared" ref="O12" si="20">J12/100</f>
        <v>1.9199999999999998E-2</v>
      </c>
      <c r="P12" s="2686">
        <f t="shared" ref="P12" si="21">K12/100</f>
        <v>3.9199999999999999E-2</v>
      </c>
      <c r="Q12" s="2686">
        <f t="shared" ref="Q12" si="22">L12/100</f>
        <v>1.5800000000000002E-2</v>
      </c>
      <c r="R12" s="2687"/>
      <c r="S12" s="2693">
        <f>B12/B13-1</f>
        <v>3.4499999999999975E-2</v>
      </c>
      <c r="T12" s="2694">
        <f>C12/C13-1</f>
        <v>1.9200000000000106E-2</v>
      </c>
      <c r="U12" s="2694">
        <f>E12/E13-1</f>
        <v>3.9199999999999902E-2</v>
      </c>
      <c r="V12" s="2694">
        <f>F12/F13-1</f>
        <v>1.5800000000000036E-2</v>
      </c>
      <c r="W12" s="2684"/>
      <c r="X12" s="2775">
        <f>ROUND(SUMPRODUCT(PRODUCT(1+N12:N$23)),4)</f>
        <v>1.3180000000000001</v>
      </c>
      <c r="Y12" s="2775">
        <f>ROUND(SUMPRODUCT(PRODUCT(1+O12:O$23)),4)</f>
        <v>1.1966000000000001</v>
      </c>
      <c r="Z12" s="2775">
        <f t="shared" si="0"/>
        <v>1.1966000000000001</v>
      </c>
      <c r="AA12" s="2775">
        <f>ROUND(SUMPRODUCT(PRODUCT(1+P12:P$23)),4)</f>
        <v>1.36</v>
      </c>
      <c r="AB12" s="2775">
        <f>ROUND(SUMPRODUCT(PRODUCT(1+Q12:Q$23)),4)</f>
        <v>1.1733</v>
      </c>
      <c r="AC12" s="2684"/>
      <c r="AD12" s="2695">
        <f>ROUND(AVERAGE(I12:I$24)/100,4)</f>
        <v>2.3900000000000001E-2</v>
      </c>
      <c r="AE12" s="2695">
        <f>ROUND(AVERAGE(J12:J$24)/100,4)</f>
        <v>1.5699999999999999E-2</v>
      </c>
      <c r="AF12" s="2695">
        <f t="shared" si="1"/>
        <v>1.5699999999999999E-2</v>
      </c>
      <c r="AG12" s="2695">
        <f>ROUND(AVERAGE(K12:K$24)/100,4)</f>
        <v>2.6599999999999999E-2</v>
      </c>
      <c r="AH12" s="2695">
        <f>ROUND(AVERAGE(L12:L$24)/100,4)</f>
        <v>1.34E-2</v>
      </c>
    </row>
    <row r="13" spans="1:34">
      <c r="A13" s="2676" t="s">
        <v>971</v>
      </c>
      <c r="B13" s="2682">
        <v>392</v>
      </c>
      <c r="C13" s="2682">
        <v>302</v>
      </c>
      <c r="D13" s="2682">
        <f t="shared" si="10"/>
        <v>302</v>
      </c>
      <c r="E13" s="2682">
        <v>553</v>
      </c>
      <c r="F13" s="2683">
        <v>266</v>
      </c>
      <c r="G13" s="3696">
        <v>2016</v>
      </c>
      <c r="H13" s="2677">
        <v>4</v>
      </c>
      <c r="I13" s="2677">
        <v>4.5599999999999996</v>
      </c>
      <c r="J13" s="2677">
        <v>2.15</v>
      </c>
      <c r="K13" s="2677">
        <v>5.32</v>
      </c>
      <c r="L13" s="2678">
        <v>1.57</v>
      </c>
      <c r="N13" s="2685">
        <f t="shared" si="11"/>
        <v>4.5599999999999995E-2</v>
      </c>
      <c r="O13" s="2686">
        <f t="shared" ref="O13:Q28" si="23">J13/100</f>
        <v>2.1499999999999998E-2</v>
      </c>
      <c r="P13" s="2686">
        <f t="shared" si="23"/>
        <v>5.3200000000000004E-2</v>
      </c>
      <c r="Q13" s="2686">
        <f t="shared" si="23"/>
        <v>1.5700000000000002E-2</v>
      </c>
      <c r="R13" s="2687"/>
      <c r="S13" s="2688"/>
      <c r="T13" s="2689"/>
      <c r="U13" s="2689"/>
      <c r="V13" s="2689"/>
      <c r="X13" s="2775">
        <f>ROUND(SUMPRODUCT(PRODUCT(1+N13:N$23)),4)</f>
        <v>1.274</v>
      </c>
      <c r="Y13" s="2775">
        <f>ROUND(SUMPRODUCT(PRODUCT(1+O13:O$23)),4)</f>
        <v>1.1740999999999999</v>
      </c>
      <c r="Z13" s="2775">
        <f t="shared" si="0"/>
        <v>1.1740999999999999</v>
      </c>
      <c r="AA13" s="2775">
        <f>ROUND(SUMPRODUCT(PRODUCT(1+P13:P$23)),4)</f>
        <v>1.3087</v>
      </c>
      <c r="AB13" s="2775">
        <f>ROUND(SUMPRODUCT(PRODUCT(1+Q13:Q$23)),4)</f>
        <v>1.1551</v>
      </c>
      <c r="AD13" s="2695">
        <f>ROUND(AVERAGE(I13:I$24)/100,4)</f>
        <v>2.3E-2</v>
      </c>
      <c r="AE13" s="2695">
        <f>ROUND(AVERAGE(J13:J$24)/100,4)</f>
        <v>1.55E-2</v>
      </c>
      <c r="AF13" s="2695">
        <f t="shared" si="1"/>
        <v>1.55E-2</v>
      </c>
      <c r="AG13" s="2695">
        <f>ROUND(AVERAGE(K13:K$24)/100,4)</f>
        <v>2.5600000000000001E-2</v>
      </c>
      <c r="AH13" s="2695">
        <f>ROUND(AVERAGE(L13:L$24)/100,4)</f>
        <v>1.32E-2</v>
      </c>
    </row>
    <row r="14" spans="1:34">
      <c r="A14" s="2676" t="s">
        <v>970</v>
      </c>
      <c r="B14" s="2690">
        <f t="shared" ref="B14:C16" si="24">B13/(1+N13)</f>
        <v>374.90436113236416</v>
      </c>
      <c r="C14" s="2690">
        <f t="shared" si="24"/>
        <v>295.64366128242779</v>
      </c>
      <c r="D14" s="2690">
        <f t="shared" ref="D14:D73" si="25">C14</f>
        <v>295.64366128242779</v>
      </c>
      <c r="E14" s="2690">
        <f t="shared" ref="E14:F16" si="26">E13/(1+P13)</f>
        <v>525.06646410938095</v>
      </c>
      <c r="F14" s="2690">
        <f t="shared" si="26"/>
        <v>261.88835286009646</v>
      </c>
      <c r="G14" s="3694"/>
      <c r="H14" s="2680">
        <v>3</v>
      </c>
      <c r="I14" s="2680">
        <v>4.12</v>
      </c>
      <c r="J14" s="2680">
        <v>2</v>
      </c>
      <c r="K14" s="2680">
        <v>4.79</v>
      </c>
      <c r="L14" s="2691">
        <v>1.97</v>
      </c>
      <c r="N14" s="2685">
        <f t="shared" ref="N14:Q48" si="27">I14/100</f>
        <v>4.1200000000000001E-2</v>
      </c>
      <c r="O14" s="2686">
        <f t="shared" si="23"/>
        <v>0.02</v>
      </c>
      <c r="P14" s="2686">
        <f t="shared" si="23"/>
        <v>4.7899999999999998E-2</v>
      </c>
      <c r="Q14" s="2686">
        <f t="shared" si="23"/>
        <v>1.9699999999999999E-2</v>
      </c>
      <c r="R14" s="2687"/>
      <c r="S14" s="2685"/>
      <c r="T14" s="2686"/>
      <c r="U14" s="2686"/>
      <c r="V14" s="2686"/>
      <c r="X14" s="2775">
        <f>ROUND(SUMPRODUCT(PRODUCT(1+N14:N$23)),4)</f>
        <v>1.2184999999999999</v>
      </c>
      <c r="Y14" s="2775">
        <f>ROUND(SUMPRODUCT(PRODUCT(1+O14:O$23)),4)</f>
        <v>1.1494</v>
      </c>
      <c r="Z14" s="2775">
        <f t="shared" si="0"/>
        <v>1.1494</v>
      </c>
      <c r="AA14" s="2775">
        <f>ROUND(SUMPRODUCT(PRODUCT(1+P14:P$23)),4)</f>
        <v>1.2425999999999999</v>
      </c>
      <c r="AB14" s="2775">
        <f>ROUND(SUMPRODUCT(PRODUCT(1+Q14:Q$23)),4)</f>
        <v>1.1372</v>
      </c>
      <c r="AD14" s="2695">
        <f>ROUND(AVERAGE(I14:I$24)/100,4)</f>
        <v>2.0899999999999998E-2</v>
      </c>
      <c r="AE14" s="2695">
        <f>ROUND(AVERAGE(J14:J$24)/100,4)</f>
        <v>1.49E-2</v>
      </c>
      <c r="AF14" s="2695">
        <f t="shared" si="1"/>
        <v>1.49E-2</v>
      </c>
      <c r="AG14" s="2695">
        <f>ROUND(AVERAGE(K14:K$24)/100,4)</f>
        <v>2.3099999999999999E-2</v>
      </c>
      <c r="AH14" s="2695">
        <f>ROUND(AVERAGE(L14:L$24)/100,4)</f>
        <v>1.2999999999999999E-2</v>
      </c>
    </row>
    <row r="15" spans="1:34">
      <c r="A15" s="2676" t="s">
        <v>960</v>
      </c>
      <c r="B15" s="2690">
        <f t="shared" si="24"/>
        <v>360.06949782209392</v>
      </c>
      <c r="C15" s="2690">
        <f t="shared" si="24"/>
        <v>289.84672674747821</v>
      </c>
      <c r="D15" s="2690">
        <f t="shared" si="25"/>
        <v>289.84672674747821</v>
      </c>
      <c r="E15" s="2690">
        <f t="shared" si="26"/>
        <v>501.06543001181495</v>
      </c>
      <c r="F15" s="2690">
        <f t="shared" si="26"/>
        <v>256.82882500744967</v>
      </c>
      <c r="G15" s="3694"/>
      <c r="H15" s="2681">
        <v>2</v>
      </c>
      <c r="I15" s="2681">
        <v>3.85</v>
      </c>
      <c r="J15" s="2681">
        <v>1.95</v>
      </c>
      <c r="K15" s="2681">
        <v>4.4800000000000004</v>
      </c>
      <c r="L15" s="2692">
        <v>1.41</v>
      </c>
      <c r="N15" s="2685">
        <f t="shared" si="27"/>
        <v>3.85E-2</v>
      </c>
      <c r="O15" s="2686">
        <f t="shared" si="23"/>
        <v>1.95E-2</v>
      </c>
      <c r="P15" s="2686">
        <f t="shared" si="23"/>
        <v>4.4800000000000006E-2</v>
      </c>
      <c r="Q15" s="2686">
        <f t="shared" si="23"/>
        <v>1.41E-2</v>
      </c>
      <c r="R15" s="2687"/>
      <c r="S15" s="2685"/>
      <c r="T15" s="2686"/>
      <c r="U15" s="2686"/>
      <c r="V15" s="2686"/>
      <c r="X15" s="2775">
        <f>ROUND(SUMPRODUCT(PRODUCT(1+N15:N$23)),4)</f>
        <v>1.1702999999999999</v>
      </c>
      <c r="Y15" s="2775">
        <f>ROUND(SUMPRODUCT(PRODUCT(1+O15:O$23)),4)</f>
        <v>1.1269</v>
      </c>
      <c r="Z15" s="2775">
        <f t="shared" si="0"/>
        <v>1.1269</v>
      </c>
      <c r="AA15" s="2775">
        <f>ROUND(SUMPRODUCT(PRODUCT(1+P15:P$23)),4)</f>
        <v>1.1858</v>
      </c>
      <c r="AB15" s="2775">
        <f>ROUND(SUMPRODUCT(PRODUCT(1+Q15:Q$23)),4)</f>
        <v>1.1152</v>
      </c>
      <c r="AD15" s="2695">
        <f>ROUND(AVERAGE(I15:I$24)/100,4)</f>
        <v>1.89E-2</v>
      </c>
      <c r="AE15" s="2695">
        <f>ROUND(AVERAGE(J15:J$24)/100,4)</f>
        <v>1.44E-2</v>
      </c>
      <c r="AF15" s="2695">
        <f t="shared" si="1"/>
        <v>1.44E-2</v>
      </c>
      <c r="AG15" s="2695">
        <f>ROUND(AVERAGE(K15:K$24)/100,4)</f>
        <v>2.06E-2</v>
      </c>
      <c r="AH15" s="2695">
        <f>ROUND(AVERAGE(L15:L$24)/100,4)</f>
        <v>1.23E-2</v>
      </c>
    </row>
    <row r="16" spans="1:34" ht="13.5" thickBot="1">
      <c r="A16" s="2676" t="s">
        <v>969</v>
      </c>
      <c r="B16" s="2690">
        <f t="shared" si="24"/>
        <v>346.720748986128</v>
      </c>
      <c r="C16" s="2690">
        <f t="shared" si="24"/>
        <v>284.30282172386285</v>
      </c>
      <c r="D16" s="2690">
        <f t="shared" si="25"/>
        <v>284.30282172386285</v>
      </c>
      <c r="E16" s="2690">
        <f t="shared" si="26"/>
        <v>479.58023546306947</v>
      </c>
      <c r="F16" s="2690">
        <f t="shared" si="26"/>
        <v>253.25788877571213</v>
      </c>
      <c r="G16" s="3695"/>
      <c r="H16" s="2680">
        <v>1</v>
      </c>
      <c r="I16" s="2680">
        <v>4.09</v>
      </c>
      <c r="J16" s="2680">
        <v>2.93</v>
      </c>
      <c r="K16" s="2680">
        <v>4.54</v>
      </c>
      <c r="L16" s="2691">
        <v>1.48</v>
      </c>
      <c r="N16" s="2685">
        <f t="shared" si="27"/>
        <v>4.0899999999999999E-2</v>
      </c>
      <c r="O16" s="2686">
        <f t="shared" si="23"/>
        <v>2.9300000000000003E-2</v>
      </c>
      <c r="P16" s="2686">
        <f t="shared" si="23"/>
        <v>4.5400000000000003E-2</v>
      </c>
      <c r="Q16" s="2686">
        <f t="shared" si="23"/>
        <v>1.4800000000000001E-2</v>
      </c>
      <c r="R16" s="2687"/>
      <c r="S16" s="2693">
        <f>B16/B17-1</f>
        <v>4.1203450408792808E-2</v>
      </c>
      <c r="T16" s="2694">
        <f>C16/C17-1</f>
        <v>2.6363977342465095E-2</v>
      </c>
      <c r="U16" s="2694">
        <f>E16/E17-1</f>
        <v>4.4837114298626357E-2</v>
      </c>
      <c r="V16" s="2694">
        <f>F16/F17-1</f>
        <v>1.7099954922538574E-2</v>
      </c>
      <c r="X16" s="2775">
        <f>ROUND(SUMPRODUCT(PRODUCT(1+N16:N$23)),4)</f>
        <v>1.1269</v>
      </c>
      <c r="Y16" s="2775">
        <f>ROUND(SUMPRODUCT(PRODUCT(1+O16:O$23)),4)</f>
        <v>1.1052999999999999</v>
      </c>
      <c r="Z16" s="2775">
        <f t="shared" si="0"/>
        <v>1.1052999999999999</v>
      </c>
      <c r="AA16" s="2775">
        <f>ROUND(SUMPRODUCT(PRODUCT(1+P16:P$23)),4)</f>
        <v>1.1349</v>
      </c>
      <c r="AB16" s="2775">
        <f>ROUND(SUMPRODUCT(PRODUCT(1+Q16:Q$23)),4)</f>
        <v>1.0996999999999999</v>
      </c>
      <c r="AD16" s="2695">
        <f>ROUND(AVERAGE(I16:I$24)/100,4)</f>
        <v>1.67E-2</v>
      </c>
      <c r="AE16" s="2695">
        <f>ROUND(AVERAGE(J16:J$24)/100,4)</f>
        <v>1.38E-2</v>
      </c>
      <c r="AF16" s="2695">
        <f t="shared" si="1"/>
        <v>1.38E-2</v>
      </c>
      <c r="AG16" s="2695">
        <f>ROUND(AVERAGE(K16:K$24)/100,4)</f>
        <v>1.7899999999999999E-2</v>
      </c>
      <c r="AH16" s="2695">
        <f>ROUND(AVERAGE(L16:L$24)/100,4)</f>
        <v>1.21E-2</v>
      </c>
    </row>
    <row r="17" spans="1:34" ht="13.5" thickBot="1">
      <c r="A17" s="2676" t="s">
        <v>968</v>
      </c>
      <c r="B17" s="2682">
        <v>333</v>
      </c>
      <c r="C17" s="2682">
        <v>277</v>
      </c>
      <c r="D17" s="2682">
        <f t="shared" si="25"/>
        <v>277</v>
      </c>
      <c r="E17" s="2682">
        <v>459</v>
      </c>
      <c r="F17" s="2683">
        <v>249</v>
      </c>
      <c r="G17" s="3693">
        <v>2015</v>
      </c>
      <c r="H17" s="2696">
        <v>4</v>
      </c>
      <c r="I17" s="2696">
        <v>1.63</v>
      </c>
      <c r="J17" s="2696">
        <v>1.1100000000000001</v>
      </c>
      <c r="K17" s="2696">
        <v>1.77</v>
      </c>
      <c r="L17" s="2697">
        <v>1.89</v>
      </c>
      <c r="N17" s="2698">
        <f t="shared" si="27"/>
        <v>1.6299999999999999E-2</v>
      </c>
      <c r="O17" s="2699">
        <f t="shared" si="23"/>
        <v>1.11E-2</v>
      </c>
      <c r="P17" s="2699">
        <f t="shared" si="23"/>
        <v>1.77E-2</v>
      </c>
      <c r="Q17" s="2699">
        <f t="shared" si="23"/>
        <v>1.89E-2</v>
      </c>
      <c r="R17" s="2687"/>
      <c r="X17" s="2775">
        <f>ROUND(SUMPRODUCT(PRODUCT(1+N17:N$23)),4)</f>
        <v>1.0826</v>
      </c>
      <c r="Y17" s="2775">
        <f>ROUND(SUMPRODUCT(PRODUCT(1+O17:O$23)),4)</f>
        <v>1.0738000000000001</v>
      </c>
      <c r="Z17" s="2775">
        <f t="shared" si="0"/>
        <v>1.0738000000000001</v>
      </c>
      <c r="AA17" s="2775">
        <f>ROUND(SUMPRODUCT(PRODUCT(1+P17:P$23)),4)</f>
        <v>1.0855999999999999</v>
      </c>
      <c r="AB17" s="2775">
        <f>ROUND(SUMPRODUCT(PRODUCT(1+Q17:Q$23)),4)</f>
        <v>1.0837000000000001</v>
      </c>
      <c r="AD17" s="2695">
        <f>ROUND(AVERAGE(I17:I$24)/100,4)</f>
        <v>1.37E-2</v>
      </c>
      <c r="AE17" s="2695">
        <f>ROUND(AVERAGE(J17:J$24)/100,4)</f>
        <v>1.1900000000000001E-2</v>
      </c>
      <c r="AF17" s="2695">
        <f t="shared" si="1"/>
        <v>1.1900000000000001E-2</v>
      </c>
      <c r="AG17" s="2695">
        <f>ROUND(AVERAGE(K17:K$24)/100,4)</f>
        <v>1.4500000000000001E-2</v>
      </c>
      <c r="AH17" s="2695">
        <f>ROUND(AVERAGE(L17:L$24)/100,4)</f>
        <v>1.18E-2</v>
      </c>
    </row>
    <row r="18" spans="1:34">
      <c r="A18" s="2676" t="s">
        <v>967</v>
      </c>
      <c r="B18" s="2690">
        <f t="shared" ref="B18:C20" si="28">B17/(1+N17)</f>
        <v>327.65915576109415</v>
      </c>
      <c r="C18" s="2690">
        <f t="shared" si="28"/>
        <v>273.95905449510434</v>
      </c>
      <c r="D18" s="2690">
        <f t="shared" si="25"/>
        <v>273.95905449510434</v>
      </c>
      <c r="E18" s="2690">
        <f t="shared" ref="E18:F20" si="29">E17/(1+P17)</f>
        <v>451.01699911565294</v>
      </c>
      <c r="F18" s="2690">
        <f t="shared" si="29"/>
        <v>244.38119540681129</v>
      </c>
      <c r="G18" s="3694"/>
      <c r="H18" s="2701">
        <v>3</v>
      </c>
      <c r="I18" s="2701">
        <v>1.65</v>
      </c>
      <c r="J18" s="2701">
        <v>0.92</v>
      </c>
      <c r="K18" s="2701">
        <v>1.88</v>
      </c>
      <c r="L18" s="2702">
        <v>1.26</v>
      </c>
      <c r="N18" s="2685">
        <f t="shared" si="27"/>
        <v>1.6500000000000001E-2</v>
      </c>
      <c r="O18" s="2703">
        <f t="shared" si="23"/>
        <v>9.1999999999999998E-3</v>
      </c>
      <c r="P18" s="2703">
        <f t="shared" si="23"/>
        <v>1.8799999999999997E-2</v>
      </c>
      <c r="Q18" s="2703">
        <f t="shared" si="23"/>
        <v>1.26E-2</v>
      </c>
      <c r="R18" s="2687"/>
      <c r="S18" s="2685"/>
      <c r="T18" s="2686"/>
      <c r="U18" s="2686"/>
      <c r="V18" s="2686"/>
      <c r="X18" s="2775">
        <f>ROUND(SUMPRODUCT(PRODUCT(1+N18:N$23)),4)</f>
        <v>1.0651999999999999</v>
      </c>
      <c r="Y18" s="2775">
        <f>ROUND(SUMPRODUCT(PRODUCT(1+O18:O$23)),4)</f>
        <v>1.0621</v>
      </c>
      <c r="Z18" s="2775">
        <f t="shared" si="0"/>
        <v>1.0621</v>
      </c>
      <c r="AA18" s="2775">
        <f>ROUND(SUMPRODUCT(PRODUCT(1+P18:P$23)),4)</f>
        <v>1.0668</v>
      </c>
      <c r="AB18" s="2775">
        <f>ROUND(SUMPRODUCT(PRODUCT(1+Q18:Q$23)),4)</f>
        <v>1.0636000000000001</v>
      </c>
      <c r="AD18" s="2695">
        <f>ROUND(AVERAGE(I18:I$24)/100,4)</f>
        <v>1.3299999999999999E-2</v>
      </c>
      <c r="AE18" s="2695">
        <f>ROUND(AVERAGE(J18:J$24)/100,4)</f>
        <v>1.2E-2</v>
      </c>
      <c r="AF18" s="2695">
        <f t="shared" si="1"/>
        <v>1.2E-2</v>
      </c>
      <c r="AG18" s="2695">
        <f>ROUND(AVERAGE(K18:K$24)/100,4)</f>
        <v>1.4E-2</v>
      </c>
      <c r="AH18" s="2695">
        <f>ROUND(AVERAGE(L18:L$24)/100,4)</f>
        <v>1.0800000000000001E-2</v>
      </c>
    </row>
    <row r="19" spans="1:34">
      <c r="A19" s="2676" t="s">
        <v>966</v>
      </c>
      <c r="B19" s="2690">
        <f t="shared" si="28"/>
        <v>322.34053690220776</v>
      </c>
      <c r="C19" s="2690">
        <f t="shared" si="28"/>
        <v>271.46160770422546</v>
      </c>
      <c r="D19" s="2690">
        <f t="shared" si="25"/>
        <v>271.46160770422546</v>
      </c>
      <c r="E19" s="2690">
        <f t="shared" si="29"/>
        <v>442.69434542172456</v>
      </c>
      <c r="F19" s="2690">
        <f t="shared" si="29"/>
        <v>241.34030753190925</v>
      </c>
      <c r="G19" s="3694"/>
      <c r="H19" s="2681">
        <v>2</v>
      </c>
      <c r="I19" s="2681">
        <v>0.77</v>
      </c>
      <c r="J19" s="2681">
        <v>0.69</v>
      </c>
      <c r="K19" s="2681">
        <v>0.8</v>
      </c>
      <c r="L19" s="2692">
        <v>0.88</v>
      </c>
      <c r="N19" s="2685">
        <f t="shared" si="27"/>
        <v>7.7000000000000002E-3</v>
      </c>
      <c r="O19" s="2703">
        <f t="shared" si="23"/>
        <v>6.8999999999999999E-3</v>
      </c>
      <c r="P19" s="2703">
        <f t="shared" si="23"/>
        <v>8.0000000000000002E-3</v>
      </c>
      <c r="Q19" s="2703">
        <f t="shared" si="23"/>
        <v>8.8000000000000005E-3</v>
      </c>
      <c r="R19" s="2687"/>
      <c r="S19" s="2685"/>
      <c r="T19" s="2686"/>
      <c r="U19" s="2686"/>
      <c r="V19" s="2686"/>
      <c r="X19" s="2775">
        <f>ROUND(SUMPRODUCT(PRODUCT(1+N19:N$23)),4)</f>
        <v>1.048</v>
      </c>
      <c r="Y19" s="2775">
        <f>ROUND(SUMPRODUCT(PRODUCT(1+O19:O$23)),4)</f>
        <v>1.0524</v>
      </c>
      <c r="Z19" s="2775">
        <f t="shared" si="0"/>
        <v>1.0524</v>
      </c>
      <c r="AA19" s="2775">
        <f>ROUND(SUMPRODUCT(PRODUCT(1+P19:P$23)),4)</f>
        <v>1.0470999999999999</v>
      </c>
      <c r="AB19" s="2775">
        <f>ROUND(SUMPRODUCT(PRODUCT(1+Q19:Q$23)),4)</f>
        <v>1.0504</v>
      </c>
      <c r="AD19" s="2695">
        <f>ROUND(AVERAGE(I19:I$24)/100,4)</f>
        <v>1.2800000000000001E-2</v>
      </c>
      <c r="AE19" s="2695">
        <f>ROUND(AVERAGE(J19:J$24)/100,4)</f>
        <v>1.2500000000000001E-2</v>
      </c>
      <c r="AF19" s="2695">
        <f t="shared" si="1"/>
        <v>1.2500000000000001E-2</v>
      </c>
      <c r="AG19" s="2695">
        <f>ROUND(AVERAGE(K19:K$24)/100,4)</f>
        <v>1.32E-2</v>
      </c>
      <c r="AH19" s="2695">
        <f>ROUND(AVERAGE(L19:L$24)/100,4)</f>
        <v>1.0500000000000001E-2</v>
      </c>
    </row>
    <row r="20" spans="1:34">
      <c r="A20" s="2676" t="s">
        <v>965</v>
      </c>
      <c r="B20" s="2690">
        <f t="shared" si="28"/>
        <v>319.87748030386797</v>
      </c>
      <c r="C20" s="2690">
        <f t="shared" si="28"/>
        <v>269.60135833173649</v>
      </c>
      <c r="D20" s="2690">
        <f t="shared" si="25"/>
        <v>269.60135833173649</v>
      </c>
      <c r="E20" s="2690">
        <f t="shared" si="29"/>
        <v>439.18089823583784</v>
      </c>
      <c r="F20" s="2690">
        <f t="shared" si="29"/>
        <v>239.23503918706311</v>
      </c>
      <c r="G20" s="3695"/>
      <c r="H20" s="2680">
        <v>1</v>
      </c>
      <c r="I20" s="2680">
        <v>0.51</v>
      </c>
      <c r="J20" s="2680">
        <v>0.54</v>
      </c>
      <c r="K20" s="2680">
        <v>0.48</v>
      </c>
      <c r="L20" s="2691">
        <v>0.93</v>
      </c>
      <c r="N20" s="2693">
        <f t="shared" si="27"/>
        <v>5.1000000000000004E-3</v>
      </c>
      <c r="O20" s="2694">
        <f t="shared" si="23"/>
        <v>5.4000000000000003E-3</v>
      </c>
      <c r="P20" s="2694">
        <f t="shared" si="23"/>
        <v>4.7999999999999996E-3</v>
      </c>
      <c r="Q20" s="2694">
        <f t="shared" si="23"/>
        <v>9.300000000000001E-3</v>
      </c>
      <c r="R20" s="2687"/>
      <c r="S20" s="2693">
        <f>B20/B21-1</f>
        <v>5.9040261127922822E-3</v>
      </c>
      <c r="T20" s="2694">
        <f>C20/C21-1</f>
        <v>5.9752176557332781E-3</v>
      </c>
      <c r="U20" s="2694">
        <f>E20/E21-1</f>
        <v>4.9906138119859556E-3</v>
      </c>
      <c r="V20" s="2694">
        <f>F20/F21-1</f>
        <v>9.4305450930933787E-3</v>
      </c>
      <c r="X20" s="2775">
        <f>ROUND(SUMPRODUCT(PRODUCT(1+N20:N$23)),4)</f>
        <v>1.0399</v>
      </c>
      <c r="Y20" s="2775">
        <f>ROUND(SUMPRODUCT(PRODUCT(1+O20:O$23)),4)</f>
        <v>1.0451999999999999</v>
      </c>
      <c r="Z20" s="2775">
        <f t="shared" si="0"/>
        <v>1.0451999999999999</v>
      </c>
      <c r="AA20" s="2775">
        <f>ROUND(SUMPRODUCT(PRODUCT(1+P20:P$23)),4)</f>
        <v>1.0387999999999999</v>
      </c>
      <c r="AB20" s="2775">
        <f>ROUND(SUMPRODUCT(PRODUCT(1+Q20:Q$23)),4)</f>
        <v>1.0411999999999999</v>
      </c>
      <c r="AD20" s="2695">
        <f>ROUND(AVERAGE(I20:I$24)/100,4)</f>
        <v>1.38E-2</v>
      </c>
      <c r="AE20" s="2695">
        <f>ROUND(AVERAGE(J20:J$24)/100,4)</f>
        <v>1.3599999999999999E-2</v>
      </c>
      <c r="AF20" s="2695">
        <f t="shared" si="1"/>
        <v>1.3599999999999999E-2</v>
      </c>
      <c r="AG20" s="2695">
        <f>ROUND(AVERAGE(K20:K$24)/100,4)</f>
        <v>1.4200000000000001E-2</v>
      </c>
      <c r="AH20" s="2695">
        <f>ROUND(AVERAGE(L20:L$24)/100,4)</f>
        <v>1.0800000000000001E-2</v>
      </c>
    </row>
    <row r="21" spans="1:34" ht="13.5" thickBot="1">
      <c r="A21" s="2676" t="s">
        <v>964</v>
      </c>
      <c r="B21" s="2704">
        <v>318</v>
      </c>
      <c r="C21" s="2704">
        <v>268</v>
      </c>
      <c r="D21" s="2704">
        <f t="shared" si="25"/>
        <v>268</v>
      </c>
      <c r="E21" s="2704">
        <v>437</v>
      </c>
      <c r="F21" s="2705">
        <v>237</v>
      </c>
      <c r="G21" s="3693">
        <v>2014</v>
      </c>
      <c r="H21" s="2696">
        <v>4</v>
      </c>
      <c r="I21" s="2696">
        <v>0.21</v>
      </c>
      <c r="J21" s="2696">
        <v>0.41</v>
      </c>
      <c r="K21" s="2696">
        <v>0.12</v>
      </c>
      <c r="L21" s="2697">
        <v>0.89</v>
      </c>
      <c r="N21" s="2685">
        <f t="shared" si="27"/>
        <v>2.0999999999999999E-3</v>
      </c>
      <c r="O21" s="2686">
        <f t="shared" si="23"/>
        <v>4.0999999999999995E-3</v>
      </c>
      <c r="P21" s="2686">
        <f t="shared" si="23"/>
        <v>1.1999999999999999E-3</v>
      </c>
      <c r="Q21" s="2686">
        <f t="shared" si="23"/>
        <v>8.8999999999999999E-3</v>
      </c>
      <c r="R21" s="2687"/>
      <c r="S21" s="2688"/>
      <c r="T21" s="2689"/>
      <c r="U21" s="2689"/>
      <c r="V21" s="2689"/>
      <c r="X21" s="2775">
        <f>ROUND(SUMPRODUCT(PRODUCT(1+N21:N$23)),4)</f>
        <v>1.0347</v>
      </c>
      <c r="Y21" s="2775">
        <f>ROUND(SUMPRODUCT(PRODUCT(1+O21:O$23)),4)</f>
        <v>1.0395000000000001</v>
      </c>
      <c r="Z21" s="2775">
        <f t="shared" si="0"/>
        <v>1.0395000000000001</v>
      </c>
      <c r="AA21" s="2775">
        <f>ROUND(SUMPRODUCT(PRODUCT(1+P21:P$23)),4)</f>
        <v>1.0338000000000001</v>
      </c>
      <c r="AB21" s="2775">
        <f>ROUND(SUMPRODUCT(PRODUCT(1+Q21:Q$23)),4)</f>
        <v>1.0316000000000001</v>
      </c>
      <c r="AD21" s="2695">
        <f>ROUND(AVERAGE(I21:I$24)/100,4)</f>
        <v>1.6E-2</v>
      </c>
      <c r="AE21" s="2695">
        <f>ROUND(AVERAGE(J21:J$24)/100,4)</f>
        <v>1.5599999999999999E-2</v>
      </c>
      <c r="AF21" s="2695">
        <f t="shared" si="1"/>
        <v>1.5599999999999999E-2</v>
      </c>
      <c r="AG21" s="2695">
        <f>ROUND(AVERAGE(K21:K$24)/100,4)</f>
        <v>1.66E-2</v>
      </c>
      <c r="AH21" s="2695">
        <f>ROUND(AVERAGE(L21:L$24)/100,4)</f>
        <v>1.12E-2</v>
      </c>
    </row>
    <row r="22" spans="1:34">
      <c r="A22" s="2676" t="s">
        <v>963</v>
      </c>
      <c r="B22" s="2690">
        <f t="shared" ref="B22:C24" si="30">B21/(1+N21)</f>
        <v>317.33359944117353</v>
      </c>
      <c r="C22" s="2690">
        <f t="shared" si="30"/>
        <v>266.90568668459315</v>
      </c>
      <c r="D22" s="2690">
        <f t="shared" si="25"/>
        <v>266.90568668459315</v>
      </c>
      <c r="E22" s="2690">
        <f t="shared" ref="E22:F24" si="31">E21/(1+P21)</f>
        <v>436.47622852576905</v>
      </c>
      <c r="F22" s="2690">
        <f t="shared" si="31"/>
        <v>234.90930716622066</v>
      </c>
      <c r="G22" s="3694"/>
      <c r="H22" s="2706">
        <v>3</v>
      </c>
      <c r="I22" s="2706">
        <v>0.83</v>
      </c>
      <c r="J22" s="2706">
        <v>1.47</v>
      </c>
      <c r="K22" s="2706">
        <v>0.65</v>
      </c>
      <c r="L22" s="2707">
        <v>0.72</v>
      </c>
      <c r="N22" s="2685">
        <f t="shared" si="27"/>
        <v>8.3000000000000001E-3</v>
      </c>
      <c r="O22" s="2686">
        <f t="shared" si="23"/>
        <v>1.47E-2</v>
      </c>
      <c r="P22" s="2686">
        <f t="shared" si="23"/>
        <v>6.5000000000000006E-3</v>
      </c>
      <c r="Q22" s="2686">
        <f t="shared" si="23"/>
        <v>7.1999999999999998E-3</v>
      </c>
      <c r="R22" s="2687"/>
      <c r="S22" s="2685"/>
      <c r="T22" s="2686"/>
      <c r="U22" s="2686"/>
      <c r="V22" s="2686"/>
      <c r="X22" s="2775">
        <f>ROUND(SUMPRODUCT(PRODUCT(1+N22:N$23)),4)</f>
        <v>1.0325</v>
      </c>
      <c r="Y22" s="2775">
        <f>ROUND(SUMPRODUCT(PRODUCT(1+O22:O$23)),4)</f>
        <v>1.0353000000000001</v>
      </c>
      <c r="Z22" s="2775">
        <f t="shared" ref="Z22:Z23" si="32">Y22</f>
        <v>1.0353000000000001</v>
      </c>
      <c r="AA22" s="2775">
        <f>ROUND(SUMPRODUCT(PRODUCT(1+P22:P$23)),4)</f>
        <v>1.0326</v>
      </c>
      <c r="AB22" s="2775">
        <f>ROUND(SUMPRODUCT(PRODUCT(1+Q22:Q$23)),4)</f>
        <v>1.0225</v>
      </c>
      <c r="AD22" s="2695">
        <f>ROUND(AVERAGE(I22:I$24)/100,4)</f>
        <v>2.07E-2</v>
      </c>
      <c r="AE22" s="2695">
        <f>ROUND(AVERAGE(J22:J$24)/100,4)</f>
        <v>1.95E-2</v>
      </c>
      <c r="AF22" s="2695">
        <f t="shared" si="1"/>
        <v>1.95E-2</v>
      </c>
      <c r="AG22" s="2695">
        <f>ROUND(AVERAGE(K22:K$24)/100,4)</f>
        <v>2.1700000000000001E-2</v>
      </c>
      <c r="AH22" s="2695">
        <f>ROUND(AVERAGE(L22:L$24)/100,4)</f>
        <v>1.2E-2</v>
      </c>
    </row>
    <row r="23" spans="1:34" ht="13.5" thickBot="1">
      <c r="A23" s="2676" t="s">
        <v>962</v>
      </c>
      <c r="B23" s="2690">
        <f t="shared" si="30"/>
        <v>314.72141172386546</v>
      </c>
      <c r="C23" s="2690">
        <f t="shared" si="30"/>
        <v>263.03901319069001</v>
      </c>
      <c r="D23" s="2690">
        <f t="shared" si="25"/>
        <v>263.03901319069001</v>
      </c>
      <c r="E23" s="2690">
        <f t="shared" si="31"/>
        <v>433.65745506782821</v>
      </c>
      <c r="F23" s="2690">
        <f t="shared" si="31"/>
        <v>233.23005080045735</v>
      </c>
      <c r="G23" s="3694"/>
      <c r="H23" s="2696">
        <v>2</v>
      </c>
      <c r="I23" s="2696">
        <v>2.4</v>
      </c>
      <c r="J23" s="2696">
        <v>2.0299999999999998</v>
      </c>
      <c r="K23" s="2696">
        <v>2.59</v>
      </c>
      <c r="L23" s="2697">
        <v>1.52</v>
      </c>
      <c r="N23" s="2685">
        <f t="shared" si="27"/>
        <v>2.4E-2</v>
      </c>
      <c r="O23" s="2686">
        <f t="shared" si="23"/>
        <v>2.0299999999999999E-2</v>
      </c>
      <c r="P23" s="2686">
        <f t="shared" si="23"/>
        <v>2.5899999999999999E-2</v>
      </c>
      <c r="Q23" s="2686">
        <f t="shared" si="23"/>
        <v>1.52E-2</v>
      </c>
      <c r="R23" s="2687"/>
      <c r="S23" s="2685"/>
      <c r="T23" s="2686"/>
      <c r="U23" s="2686"/>
      <c r="V23" s="2686"/>
      <c r="X23" s="2775">
        <f>1+N23</f>
        <v>1.024</v>
      </c>
      <c r="Y23" s="2775">
        <f>1+O23</f>
        <v>1.0203</v>
      </c>
      <c r="Z23" s="2775">
        <f t="shared" si="32"/>
        <v>1.0203</v>
      </c>
      <c r="AA23" s="2775">
        <f>1+P23</f>
        <v>1.0259</v>
      </c>
      <c r="AB23" s="2775">
        <f>1+Q23</f>
        <v>1.0152000000000001</v>
      </c>
      <c r="AD23" s="2695">
        <f>ROUND(AVERAGE(I23:I$24)/100,4)</f>
        <v>2.69E-2</v>
      </c>
      <c r="AE23" s="2695">
        <f>ROUND(AVERAGE(J23:J$24)/100,4)</f>
        <v>2.1899999999999999E-2</v>
      </c>
      <c r="AF23" s="2695">
        <f t="shared" ref="AF23" si="33">AE23</f>
        <v>2.1899999999999999E-2</v>
      </c>
      <c r="AG23" s="2695">
        <f>ROUND(AVERAGE(K23:K$24)/100,4)</f>
        <v>2.9399999999999999E-2</v>
      </c>
      <c r="AH23" s="2695">
        <f>ROUND(AVERAGE(L23:L$24)/100,4)</f>
        <v>1.44E-2</v>
      </c>
    </row>
    <row r="24" spans="1:34" s="2712" customFormat="1" ht="13.5" thickBot="1">
      <c r="A24" s="2708" t="s">
        <v>961</v>
      </c>
      <c r="B24" s="2709">
        <f t="shared" si="30"/>
        <v>307.34512863658733</v>
      </c>
      <c r="C24" s="2709">
        <f t="shared" si="30"/>
        <v>257.80556031626975</v>
      </c>
      <c r="D24" s="2709">
        <f t="shared" si="25"/>
        <v>257.80556031626975</v>
      </c>
      <c r="E24" s="2709">
        <f t="shared" si="31"/>
        <v>422.70928459677179</v>
      </c>
      <c r="F24" s="2709">
        <f t="shared" si="31"/>
        <v>229.73803270336617</v>
      </c>
      <c r="G24" s="3695"/>
      <c r="H24" s="2710">
        <v>1</v>
      </c>
      <c r="I24" s="2710">
        <v>2.97</v>
      </c>
      <c r="J24" s="2710">
        <v>2.34</v>
      </c>
      <c r="K24" s="2710">
        <v>3.28</v>
      </c>
      <c r="L24" s="2711">
        <v>1.36</v>
      </c>
      <c r="N24" s="2713">
        <f t="shared" si="27"/>
        <v>2.9700000000000001E-2</v>
      </c>
      <c r="O24" s="2714">
        <f t="shared" si="23"/>
        <v>2.3399999999999997E-2</v>
      </c>
      <c r="P24" s="2714">
        <f t="shared" si="23"/>
        <v>3.2799999999999996E-2</v>
      </c>
      <c r="Q24" s="2714">
        <f t="shared" si="23"/>
        <v>1.3600000000000001E-2</v>
      </c>
      <c r="R24" s="2715"/>
      <c r="S24" s="2716">
        <f>B24/B25-1</f>
        <v>2.7910129219355539E-2</v>
      </c>
      <c r="T24" s="2717">
        <f>C24/C25-1</f>
        <v>2.3037937762975247E-2</v>
      </c>
      <c r="U24" s="2717">
        <f>E24/E25-1</f>
        <v>3.3519033243940788E-2</v>
      </c>
      <c r="V24" s="2717">
        <f>F24/F25-1</f>
        <v>1.2061818076502862E-2</v>
      </c>
      <c r="W24" s="2783" t="s">
        <v>2644</v>
      </c>
      <c r="X24" s="2785">
        <v>1</v>
      </c>
      <c r="Y24" s="2785">
        <v>1</v>
      </c>
      <c r="Z24" s="2785">
        <v>1</v>
      </c>
      <c r="AA24" s="2785">
        <v>1</v>
      </c>
      <c r="AB24" s="2785">
        <v>1</v>
      </c>
      <c r="AD24" s="3028">
        <f>I24/100</f>
        <v>2.9700000000000001E-2</v>
      </c>
      <c r="AE24" s="3028">
        <f>J24/100</f>
        <v>2.3399999999999997E-2</v>
      </c>
      <c r="AF24" s="3028">
        <f>AE24</f>
        <v>2.3399999999999997E-2</v>
      </c>
      <c r="AG24" s="3028">
        <f>K24/100</f>
        <v>3.2799999999999996E-2</v>
      </c>
      <c r="AH24" s="3028">
        <f>L24/100</f>
        <v>1.3600000000000001E-2</v>
      </c>
    </row>
    <row r="25" spans="1:34" ht="13.5" thickBot="1">
      <c r="A25" s="2676" t="s">
        <v>2587</v>
      </c>
      <c r="B25" s="2682">
        <v>299</v>
      </c>
      <c r="C25" s="2682">
        <v>252</v>
      </c>
      <c r="D25" s="2682">
        <f t="shared" si="25"/>
        <v>252</v>
      </c>
      <c r="E25" s="2682">
        <v>409</v>
      </c>
      <c r="F25" s="2683">
        <v>227</v>
      </c>
      <c r="G25" s="3700">
        <v>2013</v>
      </c>
      <c r="H25" s="2718">
        <v>4</v>
      </c>
      <c r="I25" s="2718">
        <v>1.83</v>
      </c>
      <c r="J25" s="2718">
        <v>1.68</v>
      </c>
      <c r="K25" s="2718">
        <v>1.97</v>
      </c>
      <c r="L25" s="2719">
        <v>0.87</v>
      </c>
      <c r="N25" s="2698">
        <f t="shared" si="27"/>
        <v>1.83E-2</v>
      </c>
      <c r="O25" s="2699">
        <f t="shared" si="23"/>
        <v>1.6799999999999999E-2</v>
      </c>
      <c r="P25" s="2699">
        <f t="shared" si="23"/>
        <v>1.9699999999999999E-2</v>
      </c>
      <c r="Q25" s="2699">
        <f t="shared" si="23"/>
        <v>8.6999999999999994E-3</v>
      </c>
      <c r="R25" s="2687"/>
      <c r="S25" s="2688"/>
      <c r="T25" s="2689"/>
      <c r="U25" s="2689"/>
      <c r="V25" s="2689"/>
      <c r="X25" s="2689"/>
      <c r="Y25" s="2689"/>
      <c r="Z25" s="2689"/>
    </row>
    <row r="26" spans="1:34">
      <c r="A26" s="2676" t="s">
        <v>2588</v>
      </c>
      <c r="B26" s="2690">
        <f t="shared" ref="B26:C28" si="34">B25/(1+N25)</f>
        <v>293.62663262299913</v>
      </c>
      <c r="C26" s="2690">
        <f t="shared" si="34"/>
        <v>247.83634933123525</v>
      </c>
      <c r="D26" s="2690">
        <f t="shared" si="25"/>
        <v>247.83634933123525</v>
      </c>
      <c r="E26" s="2690">
        <f t="shared" ref="E26:F28" si="35">E25/(1+P25)</f>
        <v>401.09836226341076</v>
      </c>
      <c r="F26" s="2690">
        <f t="shared" si="35"/>
        <v>225.04213343908003</v>
      </c>
      <c r="G26" s="3701"/>
      <c r="H26" s="2701">
        <v>3</v>
      </c>
      <c r="I26" s="2701">
        <v>1.86</v>
      </c>
      <c r="J26" s="2701">
        <v>1.72</v>
      </c>
      <c r="K26" s="2701">
        <v>1.98</v>
      </c>
      <c r="L26" s="2702">
        <v>0.88</v>
      </c>
      <c r="N26" s="2685">
        <f t="shared" si="27"/>
        <v>1.8600000000000002E-2</v>
      </c>
      <c r="O26" s="2703">
        <f t="shared" si="23"/>
        <v>1.72E-2</v>
      </c>
      <c r="P26" s="2703">
        <f t="shared" si="23"/>
        <v>1.9799999999999998E-2</v>
      </c>
      <c r="Q26" s="2703">
        <f t="shared" si="23"/>
        <v>8.8000000000000005E-3</v>
      </c>
      <c r="R26" s="2687"/>
      <c r="S26" s="2685"/>
      <c r="T26" s="2686"/>
      <c r="U26" s="2686"/>
      <c r="V26" s="2686"/>
    </row>
    <row r="27" spans="1:34">
      <c r="A27" s="2676" t="s">
        <v>2589</v>
      </c>
      <c r="B27" s="2690">
        <f t="shared" si="34"/>
        <v>288.2649053828776</v>
      </c>
      <c r="C27" s="2690">
        <f t="shared" si="34"/>
        <v>243.64564425013293</v>
      </c>
      <c r="D27" s="2690">
        <f t="shared" si="25"/>
        <v>243.64564425013293</v>
      </c>
      <c r="E27" s="2690">
        <f t="shared" si="35"/>
        <v>393.31080825986544</v>
      </c>
      <c r="F27" s="2690">
        <f t="shared" si="35"/>
        <v>223.07903790551154</v>
      </c>
      <c r="G27" s="3701"/>
      <c r="H27" s="2681">
        <v>2</v>
      </c>
      <c r="I27" s="2681">
        <v>2.04</v>
      </c>
      <c r="J27" s="2681">
        <v>2.33</v>
      </c>
      <c r="K27" s="2681">
        <v>2.0699999999999998</v>
      </c>
      <c r="L27" s="2692">
        <v>0.69</v>
      </c>
      <c r="N27" s="2685">
        <f t="shared" si="27"/>
        <v>2.0400000000000001E-2</v>
      </c>
      <c r="O27" s="2703">
        <f t="shared" si="23"/>
        <v>2.3300000000000001E-2</v>
      </c>
      <c r="P27" s="2703">
        <f t="shared" si="23"/>
        <v>2.07E-2</v>
      </c>
      <c r="Q27" s="2703">
        <f t="shared" si="23"/>
        <v>6.8999999999999999E-3</v>
      </c>
      <c r="R27" s="2687"/>
      <c r="S27" s="2685"/>
      <c r="T27" s="2686"/>
      <c r="U27" s="2686"/>
      <c r="V27" s="2686"/>
      <c r="X27" s="2786"/>
      <c r="Y27" s="2788"/>
    </row>
    <row r="28" spans="1:34">
      <c r="A28" s="2676" t="s">
        <v>2590</v>
      </c>
      <c r="B28" s="2690">
        <f t="shared" si="34"/>
        <v>282.50186729015837</v>
      </c>
      <c r="C28" s="2690">
        <f t="shared" si="34"/>
        <v>238.09796174155468</v>
      </c>
      <c r="D28" s="2690">
        <f t="shared" si="25"/>
        <v>238.09796174155468</v>
      </c>
      <c r="E28" s="2690">
        <f t="shared" si="35"/>
        <v>385.33438646014054</v>
      </c>
      <c r="F28" s="2690">
        <f t="shared" si="35"/>
        <v>221.55034055567739</v>
      </c>
      <c r="G28" s="3702"/>
      <c r="H28" s="2680">
        <v>1</v>
      </c>
      <c r="I28" s="2680">
        <v>1.67</v>
      </c>
      <c r="J28" s="2680">
        <v>1.31</v>
      </c>
      <c r="K28" s="2680">
        <v>1.85</v>
      </c>
      <c r="L28" s="2691">
        <v>0.96</v>
      </c>
      <c r="N28" s="2693">
        <f t="shared" si="27"/>
        <v>1.67E-2</v>
      </c>
      <c r="O28" s="2694">
        <f t="shared" si="23"/>
        <v>1.3100000000000001E-2</v>
      </c>
      <c r="P28" s="2694">
        <f t="shared" si="23"/>
        <v>1.8500000000000003E-2</v>
      </c>
      <c r="Q28" s="2694">
        <f t="shared" si="23"/>
        <v>9.5999999999999992E-3</v>
      </c>
      <c r="R28" s="2687"/>
      <c r="S28" s="2693">
        <f>B28/B29-1</f>
        <v>1.6193767230785472E-2</v>
      </c>
      <c r="T28" s="2694">
        <f>C28/C29-1</f>
        <v>1.7512657015190891E-2</v>
      </c>
      <c r="U28" s="2694">
        <f>E28/E29-1</f>
        <v>1.6713420739157048E-2</v>
      </c>
      <c r="V28" s="2694">
        <f>F28/F29-1</f>
        <v>7.0470025258062563E-3</v>
      </c>
      <c r="X28" s="2787"/>
      <c r="Y28" s="2695"/>
      <c r="Z28" s="2695"/>
    </row>
    <row r="29" spans="1:34" ht="13.5" thickBot="1">
      <c r="A29" s="2676" t="s">
        <v>2591</v>
      </c>
      <c r="B29" s="2720">
        <v>278</v>
      </c>
      <c r="C29" s="2720">
        <v>234</v>
      </c>
      <c r="D29" s="2720">
        <f t="shared" si="25"/>
        <v>234</v>
      </c>
      <c r="E29" s="2720">
        <v>379</v>
      </c>
      <c r="F29" s="2721">
        <v>220</v>
      </c>
      <c r="G29" s="3693">
        <v>2012</v>
      </c>
      <c r="H29" s="2696">
        <v>4</v>
      </c>
      <c r="I29" s="2696">
        <v>0.91</v>
      </c>
      <c r="J29" s="2696">
        <v>0.68</v>
      </c>
      <c r="K29" s="2696">
        <v>0.98</v>
      </c>
      <c r="L29" s="2697">
        <v>0.9</v>
      </c>
      <c r="N29" s="2685">
        <f t="shared" si="27"/>
        <v>9.1000000000000004E-3</v>
      </c>
      <c r="O29" s="2686">
        <f t="shared" si="27"/>
        <v>6.8000000000000005E-3</v>
      </c>
      <c r="P29" s="2686">
        <f t="shared" si="27"/>
        <v>9.7999999999999997E-3</v>
      </c>
      <c r="Q29" s="2686">
        <f t="shared" si="27"/>
        <v>9.0000000000000011E-3</v>
      </c>
      <c r="R29" s="2687"/>
      <c r="S29" s="2688"/>
      <c r="T29" s="2689"/>
      <c r="U29" s="2689"/>
      <c r="V29" s="2689"/>
      <c r="X29" s="2689"/>
      <c r="Y29" s="2689"/>
      <c r="Z29" s="2689"/>
    </row>
    <row r="30" spans="1:34">
      <c r="A30" s="2676" t="s">
        <v>2592</v>
      </c>
      <c r="B30" s="2690">
        <f>B29/(1+N29)</f>
        <v>275.49301357645425</v>
      </c>
      <c r="C30" s="2690">
        <f>C29/(1+O29)</f>
        <v>232.41954707985698</v>
      </c>
      <c r="D30" s="2690">
        <f t="shared" si="25"/>
        <v>232.41954707985698</v>
      </c>
      <c r="E30" s="2690">
        <f t="shared" ref="E30:F32" si="36">E29/(1+P29)</f>
        <v>375.32184591008121</v>
      </c>
      <c r="F30" s="2690">
        <f t="shared" si="36"/>
        <v>218.03766105054513</v>
      </c>
      <c r="G30" s="3694"/>
      <c r="H30" s="2701">
        <v>3</v>
      </c>
      <c r="I30" s="2701">
        <v>0.09</v>
      </c>
      <c r="J30" s="2701">
        <v>0.28999999999999998</v>
      </c>
      <c r="K30" s="2701">
        <v>-0.01</v>
      </c>
      <c r="L30" s="2702">
        <v>0.57999999999999996</v>
      </c>
      <c r="N30" s="2685">
        <f t="shared" si="27"/>
        <v>8.9999999999999998E-4</v>
      </c>
      <c r="O30" s="2686">
        <f t="shared" si="27"/>
        <v>2.8999999999999998E-3</v>
      </c>
      <c r="P30" s="2686">
        <f t="shared" si="27"/>
        <v>-1E-4</v>
      </c>
      <c r="Q30" s="2686">
        <f t="shared" si="27"/>
        <v>5.7999999999999996E-3</v>
      </c>
      <c r="R30" s="2687"/>
      <c r="S30" s="2685"/>
      <c r="T30" s="2686"/>
      <c r="U30" s="2686"/>
      <c r="V30" s="2686"/>
    </row>
    <row r="31" spans="1:34">
      <c r="A31" s="2676" t="s">
        <v>2593</v>
      </c>
      <c r="B31" s="2690">
        <f>B30/(1+N30)</f>
        <v>275.24529281292263</v>
      </c>
      <c r="C31" s="2690">
        <f>C30/(1+O30)</f>
        <v>231.74747938962707</v>
      </c>
      <c r="D31" s="2690">
        <f t="shared" si="25"/>
        <v>231.74747938962707</v>
      </c>
      <c r="E31" s="2690">
        <f t="shared" si="36"/>
        <v>375.35938184826603</v>
      </c>
      <c r="F31" s="2690">
        <f t="shared" si="36"/>
        <v>216.78033510692495</v>
      </c>
      <c r="G31" s="3694"/>
      <c r="H31" s="2681">
        <v>2</v>
      </c>
      <c r="I31" s="2681">
        <v>0.02</v>
      </c>
      <c r="J31" s="2681">
        <v>0.12</v>
      </c>
      <c r="K31" s="2681">
        <v>-0.08</v>
      </c>
      <c r="L31" s="2692">
        <v>1.24</v>
      </c>
      <c r="N31" s="2685">
        <f t="shared" si="27"/>
        <v>2.0000000000000001E-4</v>
      </c>
      <c r="O31" s="2686">
        <f t="shared" si="27"/>
        <v>1.1999999999999999E-3</v>
      </c>
      <c r="P31" s="2686">
        <f t="shared" si="27"/>
        <v>-8.0000000000000004E-4</v>
      </c>
      <c r="Q31" s="2686">
        <f t="shared" si="27"/>
        <v>1.24E-2</v>
      </c>
      <c r="R31" s="2687"/>
      <c r="S31" s="2685"/>
      <c r="T31" s="2686"/>
      <c r="U31" s="2686"/>
      <c r="V31" s="2686"/>
    </row>
    <row r="32" spans="1:34" ht="13.5" thickBot="1">
      <c r="A32" s="2676" t="s">
        <v>2594</v>
      </c>
      <c r="B32" s="2690">
        <f>B31/(1+N31)</f>
        <v>275.19025476197027</v>
      </c>
      <c r="C32" s="2722">
        <v>232</v>
      </c>
      <c r="D32" s="2722">
        <f t="shared" si="25"/>
        <v>232</v>
      </c>
      <c r="E32" s="2690">
        <f t="shared" si="36"/>
        <v>375.65990977608692</v>
      </c>
      <c r="F32" s="2690">
        <f t="shared" si="36"/>
        <v>214.12518283971252</v>
      </c>
      <c r="G32" s="3695"/>
      <c r="H32" s="2680">
        <v>1</v>
      </c>
      <c r="I32" s="2680">
        <v>0.02</v>
      </c>
      <c r="J32" s="2680">
        <v>0.13</v>
      </c>
      <c r="K32" s="2680">
        <v>-0.04</v>
      </c>
      <c r="L32" s="2691">
        <v>0.46</v>
      </c>
      <c r="N32" s="2685">
        <f t="shared" si="27"/>
        <v>2.0000000000000001E-4</v>
      </c>
      <c r="O32" s="2686">
        <f t="shared" si="27"/>
        <v>1.2999999999999999E-3</v>
      </c>
      <c r="P32" s="2686">
        <f t="shared" si="27"/>
        <v>-4.0000000000000002E-4</v>
      </c>
      <c r="Q32" s="2686">
        <f t="shared" si="27"/>
        <v>4.5999999999999999E-3</v>
      </c>
      <c r="R32" s="2687"/>
      <c r="S32" s="2693">
        <f>B32/B33-1</f>
        <v>6.9183549807361189E-4</v>
      </c>
      <c r="T32" s="2694">
        <f>C32/C33-1</f>
        <v>0</v>
      </c>
      <c r="U32" s="2694">
        <f>E32/E33-1</f>
        <v>-9.0449527636460303E-4</v>
      </c>
      <c r="V32" s="2694">
        <f>F32/F33-1</f>
        <v>5.2825485432512753E-3</v>
      </c>
      <c r="X32" s="2695"/>
      <c r="Y32" s="2695"/>
      <c r="Z32" s="2695"/>
    </row>
    <row r="33" spans="1:26" ht="13.5" thickBot="1">
      <c r="A33" s="2676" t="s">
        <v>2595</v>
      </c>
      <c r="B33" s="2682">
        <v>275</v>
      </c>
      <c r="C33" s="2682">
        <v>232</v>
      </c>
      <c r="D33" s="2682">
        <f t="shared" si="25"/>
        <v>232</v>
      </c>
      <c r="E33" s="2682">
        <v>376</v>
      </c>
      <c r="F33" s="2683">
        <v>213</v>
      </c>
      <c r="G33" s="3693">
        <v>2011</v>
      </c>
      <c r="H33" s="2696">
        <v>4</v>
      </c>
      <c r="I33" s="2696">
        <v>-0.2</v>
      </c>
      <c r="J33" s="2696">
        <v>0.04</v>
      </c>
      <c r="K33" s="2696">
        <v>-0.34</v>
      </c>
      <c r="L33" s="2697">
        <v>0.46</v>
      </c>
      <c r="N33" s="2698">
        <f t="shared" si="27"/>
        <v>-2E-3</v>
      </c>
      <c r="O33" s="2699">
        <f t="shared" si="27"/>
        <v>4.0000000000000002E-4</v>
      </c>
      <c r="P33" s="2699">
        <f t="shared" si="27"/>
        <v>-3.4000000000000002E-3</v>
      </c>
      <c r="Q33" s="2699">
        <f t="shared" si="27"/>
        <v>4.5999999999999999E-3</v>
      </c>
      <c r="R33" s="2687"/>
      <c r="S33" s="2688"/>
      <c r="T33" s="2689"/>
      <c r="U33" s="2689"/>
      <c r="V33" s="2689"/>
      <c r="X33" s="2689"/>
      <c r="Y33" s="2689"/>
      <c r="Z33" s="2689"/>
    </row>
    <row r="34" spans="1:26">
      <c r="A34" s="2676" t="s">
        <v>2596</v>
      </c>
      <c r="B34" s="2690">
        <f t="shared" ref="B34:C36" si="37">B33/(1+N33)</f>
        <v>275.55110220440883</v>
      </c>
      <c r="C34" s="2690">
        <f t="shared" si="37"/>
        <v>231.90723710515795</v>
      </c>
      <c r="D34" s="2690">
        <f t="shared" si="25"/>
        <v>231.90723710515795</v>
      </c>
      <c r="E34" s="2690">
        <f t="shared" ref="E34:F36" si="38">E33/(1+P33)</f>
        <v>377.28276138872161</v>
      </c>
      <c r="F34" s="2690">
        <f t="shared" si="38"/>
        <v>212.02468644236512</v>
      </c>
      <c r="G34" s="3694">
        <v>2011</v>
      </c>
      <c r="H34" s="2701">
        <v>3</v>
      </c>
      <c r="I34" s="2701">
        <v>0.13</v>
      </c>
      <c r="J34" s="2701">
        <v>0.75</v>
      </c>
      <c r="K34" s="2701">
        <v>-0.08</v>
      </c>
      <c r="L34" s="2702">
        <v>0.53</v>
      </c>
      <c r="N34" s="2685">
        <f t="shared" si="27"/>
        <v>1.2999999999999999E-3</v>
      </c>
      <c r="O34" s="2703">
        <f t="shared" si="27"/>
        <v>7.4999999999999997E-3</v>
      </c>
      <c r="P34" s="2703">
        <f t="shared" si="27"/>
        <v>-8.0000000000000004E-4</v>
      </c>
      <c r="Q34" s="2703">
        <f t="shared" si="27"/>
        <v>5.3E-3</v>
      </c>
      <c r="R34" s="2687"/>
      <c r="S34" s="2685"/>
      <c r="T34" s="2686"/>
      <c r="U34" s="2686"/>
      <c r="V34" s="2686"/>
    </row>
    <row r="35" spans="1:26">
      <c r="A35" s="2676" t="s">
        <v>2597</v>
      </c>
      <c r="B35" s="2690">
        <f t="shared" si="37"/>
        <v>275.19335084830601</v>
      </c>
      <c r="C35" s="2690">
        <f t="shared" si="37"/>
        <v>230.18088050139744</v>
      </c>
      <c r="D35" s="2690">
        <f t="shared" si="25"/>
        <v>230.18088050139744</v>
      </c>
      <c r="E35" s="2690">
        <f t="shared" si="38"/>
        <v>377.58482925212331</v>
      </c>
      <c r="F35" s="2690">
        <f t="shared" si="38"/>
        <v>210.90687997847917</v>
      </c>
      <c r="G35" s="3694">
        <v>2011</v>
      </c>
      <c r="H35" s="2681">
        <v>2</v>
      </c>
      <c r="I35" s="2681">
        <v>-0.4</v>
      </c>
      <c r="J35" s="2681">
        <v>0.17</v>
      </c>
      <c r="K35" s="2681">
        <v>-0.57999999999999996</v>
      </c>
      <c r="L35" s="2692">
        <v>-0.2</v>
      </c>
      <c r="N35" s="2685">
        <f t="shared" si="27"/>
        <v>-4.0000000000000001E-3</v>
      </c>
      <c r="O35" s="2703">
        <f t="shared" si="27"/>
        <v>1.7000000000000001E-3</v>
      </c>
      <c r="P35" s="2703">
        <f t="shared" si="27"/>
        <v>-5.7999999999999996E-3</v>
      </c>
      <c r="Q35" s="2703">
        <f t="shared" si="27"/>
        <v>-2E-3</v>
      </c>
      <c r="R35" s="2687"/>
      <c r="S35" s="2685"/>
      <c r="T35" s="2686"/>
      <c r="U35" s="2686"/>
      <c r="V35" s="2686"/>
    </row>
    <row r="36" spans="1:26" ht="13.5" thickBot="1">
      <c r="A36" s="2676" t="s">
        <v>2598</v>
      </c>
      <c r="B36" s="2690">
        <f t="shared" si="37"/>
        <v>276.29854502841971</v>
      </c>
      <c r="C36" s="2690">
        <f t="shared" si="37"/>
        <v>229.79023709833027</v>
      </c>
      <c r="D36" s="2690">
        <f t="shared" si="25"/>
        <v>229.79023709833027</v>
      </c>
      <c r="E36" s="2690">
        <f t="shared" si="38"/>
        <v>379.78759731655936</v>
      </c>
      <c r="F36" s="2690">
        <f t="shared" si="38"/>
        <v>211.32953905659235</v>
      </c>
      <c r="G36" s="3695">
        <v>2011</v>
      </c>
      <c r="H36" s="2680">
        <v>1</v>
      </c>
      <c r="I36" s="2680">
        <v>2.65</v>
      </c>
      <c r="J36" s="2680">
        <v>3.76</v>
      </c>
      <c r="K36" s="2680">
        <v>1.89</v>
      </c>
      <c r="L36" s="2691">
        <v>7.95</v>
      </c>
      <c r="N36" s="2693">
        <f t="shared" si="27"/>
        <v>2.6499999999999999E-2</v>
      </c>
      <c r="O36" s="2694">
        <f t="shared" si="27"/>
        <v>3.7599999999999995E-2</v>
      </c>
      <c r="P36" s="2694">
        <f t="shared" si="27"/>
        <v>1.89E-2</v>
      </c>
      <c r="Q36" s="2694">
        <f t="shared" si="27"/>
        <v>7.9500000000000001E-2</v>
      </c>
      <c r="R36" s="2687"/>
      <c r="S36" s="2693">
        <f>B36/B37-1</f>
        <v>2.713213765211786E-2</v>
      </c>
      <c r="T36" s="2694">
        <f>C36/C37-1</f>
        <v>3.9774828499231862E-2</v>
      </c>
      <c r="U36" s="2694">
        <f>E36/E37-1</f>
        <v>1.8197311840641772E-2</v>
      </c>
      <c r="V36" s="2694">
        <f>F36/F37-1</f>
        <v>7.8211933962205826E-2</v>
      </c>
      <c r="X36" s="2695"/>
      <c r="Y36" s="2695"/>
      <c r="Z36" s="2695"/>
    </row>
    <row r="37" spans="1:26" ht="13.5" thickBot="1">
      <c r="A37" s="2676" t="s">
        <v>2599</v>
      </c>
      <c r="B37" s="2682">
        <v>269</v>
      </c>
      <c r="C37" s="2682">
        <v>221</v>
      </c>
      <c r="D37" s="2682">
        <f t="shared" si="25"/>
        <v>221</v>
      </c>
      <c r="E37" s="2682">
        <v>373</v>
      </c>
      <c r="F37" s="2683">
        <v>196</v>
      </c>
      <c r="G37" s="3693">
        <v>2010</v>
      </c>
      <c r="H37" s="2696">
        <v>4</v>
      </c>
      <c r="I37" s="2696">
        <v>5.72</v>
      </c>
      <c r="J37" s="2696">
        <v>6.57</v>
      </c>
      <c r="K37" s="2696">
        <v>5.72</v>
      </c>
      <c r="L37" s="2697">
        <v>2.72</v>
      </c>
      <c r="N37" s="2685">
        <f t="shared" si="27"/>
        <v>5.7200000000000001E-2</v>
      </c>
      <c r="O37" s="2686">
        <f t="shared" si="27"/>
        <v>6.5700000000000008E-2</v>
      </c>
      <c r="P37" s="2686">
        <f t="shared" si="27"/>
        <v>5.7200000000000001E-2</v>
      </c>
      <c r="Q37" s="2686">
        <f t="shared" si="27"/>
        <v>2.7200000000000002E-2</v>
      </c>
      <c r="R37" s="2687"/>
      <c r="S37" s="2688"/>
      <c r="T37" s="2689"/>
      <c r="U37" s="2689"/>
      <c r="V37" s="2689"/>
      <c r="X37" s="2689"/>
      <c r="Y37" s="2689"/>
      <c r="Z37" s="2689"/>
    </row>
    <row r="38" spans="1:26">
      <c r="A38" s="2676" t="s">
        <v>2600</v>
      </c>
      <c r="B38" s="2690">
        <f t="shared" ref="B38:C40" si="39">B37/(1+N37)</f>
        <v>254.44570563753314</v>
      </c>
      <c r="C38" s="2690">
        <f t="shared" si="39"/>
        <v>207.37543398705074</v>
      </c>
      <c r="D38" s="2690">
        <f t="shared" si="25"/>
        <v>207.37543398705074</v>
      </c>
      <c r="E38" s="2690">
        <f t="shared" ref="E38:F40" si="40">E37/(1+P37)</f>
        <v>352.81876655315932</v>
      </c>
      <c r="F38" s="2690">
        <f t="shared" si="40"/>
        <v>190.809968847352</v>
      </c>
      <c r="G38" s="3694">
        <v>2010</v>
      </c>
      <c r="H38" s="2701">
        <v>3</v>
      </c>
      <c r="I38" s="2701">
        <v>4.7300000000000004</v>
      </c>
      <c r="J38" s="2701">
        <v>3.9</v>
      </c>
      <c r="K38" s="2701">
        <v>5.03</v>
      </c>
      <c r="L38" s="2702">
        <v>4.21</v>
      </c>
      <c r="N38" s="2685">
        <f t="shared" si="27"/>
        <v>4.7300000000000002E-2</v>
      </c>
      <c r="O38" s="2686">
        <f t="shared" si="27"/>
        <v>3.9E-2</v>
      </c>
      <c r="P38" s="2686">
        <f t="shared" si="27"/>
        <v>5.0300000000000004E-2</v>
      </c>
      <c r="Q38" s="2686">
        <f t="shared" si="27"/>
        <v>4.2099999999999999E-2</v>
      </c>
      <c r="R38" s="2687"/>
      <c r="S38" s="2685"/>
      <c r="T38" s="2686"/>
      <c r="U38" s="2686"/>
      <c r="V38" s="2686"/>
    </row>
    <row r="39" spans="1:26">
      <c r="A39" s="2676" t="s">
        <v>2601</v>
      </c>
      <c r="B39" s="2690">
        <f t="shared" si="39"/>
        <v>242.95398227588385</v>
      </c>
      <c r="C39" s="2690">
        <f t="shared" si="39"/>
        <v>199.59137053614126</v>
      </c>
      <c r="D39" s="2690">
        <f t="shared" si="25"/>
        <v>199.59137053614126</v>
      </c>
      <c r="E39" s="2690">
        <f t="shared" si="40"/>
        <v>335.92189522342125</v>
      </c>
      <c r="F39" s="2690">
        <f t="shared" si="40"/>
        <v>183.10139991109489</v>
      </c>
      <c r="G39" s="3694">
        <v>2010</v>
      </c>
      <c r="H39" s="2681">
        <v>2</v>
      </c>
      <c r="I39" s="2681">
        <v>4.6900000000000004</v>
      </c>
      <c r="J39" s="2681">
        <v>3.55</v>
      </c>
      <c r="K39" s="2681">
        <v>5.07</v>
      </c>
      <c r="L39" s="2692">
        <v>4.2300000000000004</v>
      </c>
      <c r="N39" s="2685">
        <f t="shared" si="27"/>
        <v>4.6900000000000004E-2</v>
      </c>
      <c r="O39" s="2686">
        <f t="shared" si="27"/>
        <v>3.5499999999999997E-2</v>
      </c>
      <c r="P39" s="2686">
        <f t="shared" si="27"/>
        <v>5.0700000000000002E-2</v>
      </c>
      <c r="Q39" s="2686">
        <f t="shared" si="27"/>
        <v>4.2300000000000004E-2</v>
      </c>
      <c r="R39" s="2687"/>
      <c r="S39" s="2685"/>
      <c r="T39" s="2686"/>
      <c r="U39" s="2686"/>
      <c r="V39" s="2686"/>
    </row>
    <row r="40" spans="1:26" ht="13.5" thickBot="1">
      <c r="A40" s="2676" t="s">
        <v>2602</v>
      </c>
      <c r="B40" s="2690">
        <f t="shared" si="39"/>
        <v>232.06990378821649</v>
      </c>
      <c r="C40" s="2690">
        <f t="shared" si="39"/>
        <v>192.74878854286936</v>
      </c>
      <c r="D40" s="2690">
        <f t="shared" si="25"/>
        <v>192.74878854286936</v>
      </c>
      <c r="E40" s="2690">
        <f t="shared" si="40"/>
        <v>319.71247284992984</v>
      </c>
      <c r="F40" s="2690">
        <f t="shared" si="40"/>
        <v>175.67053622862409</v>
      </c>
      <c r="G40" s="3695">
        <v>2010</v>
      </c>
      <c r="H40" s="2680">
        <v>1</v>
      </c>
      <c r="I40" s="2680">
        <v>5.4</v>
      </c>
      <c r="J40" s="2680">
        <v>3.2</v>
      </c>
      <c r="K40" s="2680">
        <v>6.16</v>
      </c>
      <c r="L40" s="2691">
        <v>4.51</v>
      </c>
      <c r="N40" s="2685">
        <f t="shared" si="27"/>
        <v>5.4000000000000006E-2</v>
      </c>
      <c r="O40" s="2686">
        <f t="shared" si="27"/>
        <v>3.2000000000000001E-2</v>
      </c>
      <c r="P40" s="2686">
        <f t="shared" si="27"/>
        <v>6.1600000000000002E-2</v>
      </c>
      <c r="Q40" s="2686">
        <f t="shared" si="27"/>
        <v>4.5100000000000001E-2</v>
      </c>
      <c r="R40" s="2687"/>
      <c r="S40" s="2693">
        <f>B40/B41-1</f>
        <v>5.4863199037347599E-2</v>
      </c>
      <c r="T40" s="2694">
        <f>C40/C41-1</f>
        <v>3.0742184721226584E-2</v>
      </c>
      <c r="U40" s="2694">
        <f>E40/E41-1</f>
        <v>6.2167683886810154E-2</v>
      </c>
      <c r="V40" s="2694">
        <f>F40/F41-1</f>
        <v>4.5657953741810031E-2</v>
      </c>
      <c r="X40" s="2695"/>
      <c r="Y40" s="2695"/>
      <c r="Z40" s="2695"/>
    </row>
    <row r="41" spans="1:26" ht="13.5" thickBot="1">
      <c r="A41" s="2676" t="s">
        <v>2603</v>
      </c>
      <c r="B41" s="2682">
        <v>220</v>
      </c>
      <c r="C41" s="2682">
        <v>187</v>
      </c>
      <c r="D41" s="2682">
        <f t="shared" si="25"/>
        <v>187</v>
      </c>
      <c r="E41" s="2682">
        <v>301</v>
      </c>
      <c r="F41" s="2683">
        <v>168</v>
      </c>
      <c r="G41" s="3693">
        <v>2009</v>
      </c>
      <c r="H41" s="2696">
        <v>4</v>
      </c>
      <c r="I41" s="2696">
        <v>2.2999999999999998</v>
      </c>
      <c r="J41" s="2696">
        <v>1.04</v>
      </c>
      <c r="K41" s="2696">
        <v>2.84</v>
      </c>
      <c r="L41" s="2697">
        <v>0.67</v>
      </c>
      <c r="N41" s="2698">
        <f t="shared" si="27"/>
        <v>2.3E-2</v>
      </c>
      <c r="O41" s="2699">
        <f t="shared" si="27"/>
        <v>1.04E-2</v>
      </c>
      <c r="P41" s="2699">
        <f t="shared" si="27"/>
        <v>2.8399999999999998E-2</v>
      </c>
      <c r="Q41" s="2699">
        <f t="shared" si="27"/>
        <v>6.7000000000000002E-3</v>
      </c>
      <c r="R41" s="2687"/>
      <c r="S41" s="2688"/>
      <c r="T41" s="2689"/>
      <c r="U41" s="2689"/>
      <c r="V41" s="2689"/>
      <c r="X41" s="2689"/>
      <c r="Y41" s="2689"/>
      <c r="Z41" s="2689"/>
    </row>
    <row r="42" spans="1:26">
      <c r="A42" s="2676" t="s">
        <v>2604</v>
      </c>
      <c r="B42" s="2690">
        <f t="shared" ref="B42:C44" si="41">B41/(1+N41)</f>
        <v>215.05376344086022</v>
      </c>
      <c r="C42" s="2690">
        <f t="shared" si="41"/>
        <v>185.0752177355503</v>
      </c>
      <c r="D42" s="2690">
        <f t="shared" si="25"/>
        <v>185.0752177355503</v>
      </c>
      <c r="E42" s="2690">
        <f t="shared" ref="E42:F44" si="42">E41/(1+P41)</f>
        <v>292.68767016725008</v>
      </c>
      <c r="F42" s="2690">
        <f t="shared" si="42"/>
        <v>166.88189132810174</v>
      </c>
      <c r="G42" s="3694">
        <v>2009</v>
      </c>
      <c r="H42" s="2701">
        <v>3</v>
      </c>
      <c r="I42" s="2701">
        <v>2.1</v>
      </c>
      <c r="J42" s="2701">
        <v>1.86</v>
      </c>
      <c r="K42" s="2701">
        <v>2.29</v>
      </c>
      <c r="L42" s="2702">
        <v>0.85</v>
      </c>
      <c r="N42" s="2685">
        <f t="shared" si="27"/>
        <v>2.1000000000000001E-2</v>
      </c>
      <c r="O42" s="2703">
        <f t="shared" si="27"/>
        <v>1.8600000000000002E-2</v>
      </c>
      <c r="P42" s="2703">
        <f t="shared" si="27"/>
        <v>2.29E-2</v>
      </c>
      <c r="Q42" s="2703">
        <f t="shared" si="27"/>
        <v>8.5000000000000006E-3</v>
      </c>
      <c r="R42" s="2687"/>
      <c r="S42" s="2685"/>
      <c r="T42" s="2686"/>
      <c r="U42" s="2686"/>
      <c r="V42" s="2686"/>
    </row>
    <row r="43" spans="1:26">
      <c r="A43" s="2676" t="s">
        <v>2605</v>
      </c>
      <c r="B43" s="2690">
        <f t="shared" si="41"/>
        <v>210.630522469011</v>
      </c>
      <c r="C43" s="2690">
        <f t="shared" si="41"/>
        <v>181.69567812247232</v>
      </c>
      <c r="D43" s="2690">
        <f t="shared" si="25"/>
        <v>181.69567812247232</v>
      </c>
      <c r="E43" s="2690">
        <f t="shared" si="42"/>
        <v>286.13517466736738</v>
      </c>
      <c r="F43" s="2690">
        <f t="shared" si="42"/>
        <v>165.47535084591149</v>
      </c>
      <c r="G43" s="3694">
        <v>2009</v>
      </c>
      <c r="H43" s="2681">
        <v>2</v>
      </c>
      <c r="I43" s="2681">
        <v>0.86</v>
      </c>
      <c r="J43" s="2681">
        <v>-1.1299999999999999</v>
      </c>
      <c r="K43" s="2681">
        <v>1.79</v>
      </c>
      <c r="L43" s="2692">
        <v>-2.0699999999999998</v>
      </c>
      <c r="N43" s="2685">
        <f t="shared" si="27"/>
        <v>8.6E-3</v>
      </c>
      <c r="O43" s="2703">
        <f t="shared" si="27"/>
        <v>-1.1299999999999999E-2</v>
      </c>
      <c r="P43" s="2703">
        <f t="shared" si="27"/>
        <v>1.7899999999999999E-2</v>
      </c>
      <c r="Q43" s="2703">
        <f t="shared" si="27"/>
        <v>-2.07E-2</v>
      </c>
      <c r="R43" s="2687"/>
      <c r="S43" s="2685"/>
      <c r="T43" s="2686"/>
      <c r="U43" s="2686"/>
      <c r="V43" s="2686"/>
    </row>
    <row r="44" spans="1:26">
      <c r="A44" s="2676" t="s">
        <v>2606</v>
      </c>
      <c r="B44" s="2690">
        <f t="shared" si="41"/>
        <v>208.83454537875372</v>
      </c>
      <c r="C44" s="2690">
        <f t="shared" si="41"/>
        <v>183.77230517090351</v>
      </c>
      <c r="D44" s="2690">
        <f t="shared" si="25"/>
        <v>183.77230517090351</v>
      </c>
      <c r="E44" s="2690">
        <f t="shared" si="42"/>
        <v>281.10342338870947</v>
      </c>
      <c r="F44" s="2690">
        <f t="shared" si="42"/>
        <v>168.97309388942256</v>
      </c>
      <c r="G44" s="3695">
        <v>2009</v>
      </c>
      <c r="H44" s="2680">
        <v>1</v>
      </c>
      <c r="I44" s="2680">
        <v>-2.64</v>
      </c>
      <c r="J44" s="2680">
        <v>-2.5299999999999998</v>
      </c>
      <c r="K44" s="2680">
        <v>-3.02</v>
      </c>
      <c r="L44" s="2691">
        <v>1.52</v>
      </c>
      <c r="N44" s="2693">
        <f t="shared" si="27"/>
        <v>-2.64E-2</v>
      </c>
      <c r="O44" s="2694">
        <f t="shared" si="27"/>
        <v>-2.53E-2</v>
      </c>
      <c r="P44" s="2694">
        <f t="shared" si="27"/>
        <v>-3.0200000000000001E-2</v>
      </c>
      <c r="Q44" s="2694">
        <f t="shared" si="27"/>
        <v>1.52E-2</v>
      </c>
      <c r="R44" s="2687"/>
      <c r="S44" s="2693">
        <f>B44/B45-1</f>
        <v>-2.4137638417038754E-2</v>
      </c>
      <c r="T44" s="2694">
        <f>C44/C45-1</f>
        <v>-2.248773845264096E-2</v>
      </c>
      <c r="U44" s="2694">
        <f>E44/E45-1</f>
        <v>-2.7323794502735366E-2</v>
      </c>
      <c r="V44" s="2694">
        <f>F44/F45-1</f>
        <v>1.7910204153148035E-2</v>
      </c>
      <c r="X44" s="2695"/>
      <c r="Y44" s="2695"/>
      <c r="Z44" s="2695"/>
    </row>
    <row r="45" spans="1:26" ht="13.5" thickBot="1">
      <c r="A45" s="2676" t="s">
        <v>2607</v>
      </c>
      <c r="B45" s="2720">
        <v>214</v>
      </c>
      <c r="C45" s="2720">
        <v>188</v>
      </c>
      <c r="D45" s="2720">
        <f t="shared" si="25"/>
        <v>188</v>
      </c>
      <c r="E45" s="2720">
        <v>289</v>
      </c>
      <c r="F45" s="2721">
        <v>166</v>
      </c>
      <c r="G45" s="3693">
        <v>2008</v>
      </c>
      <c r="H45" s="2696">
        <v>4</v>
      </c>
      <c r="I45" s="2696">
        <v>1.73</v>
      </c>
      <c r="J45" s="2696">
        <v>0.03</v>
      </c>
      <c r="K45" s="2696">
        <v>2.59</v>
      </c>
      <c r="L45" s="2697">
        <v>-1.66</v>
      </c>
      <c r="N45" s="2685">
        <f t="shared" si="27"/>
        <v>1.7299999999999999E-2</v>
      </c>
      <c r="O45" s="2686">
        <f t="shared" si="27"/>
        <v>2.9999999999999997E-4</v>
      </c>
      <c r="P45" s="2686">
        <f t="shared" si="27"/>
        <v>2.5899999999999999E-2</v>
      </c>
      <c r="Q45" s="2686">
        <f t="shared" si="27"/>
        <v>-1.66E-2</v>
      </c>
      <c r="R45" s="2687"/>
      <c r="S45" s="2688"/>
      <c r="T45" s="2689"/>
      <c r="U45" s="2689"/>
      <c r="V45" s="2689"/>
      <c r="X45" s="2689"/>
      <c r="Y45" s="2689"/>
      <c r="Z45" s="2689"/>
    </row>
    <row r="46" spans="1:26">
      <c r="A46" s="2676" t="s">
        <v>2608</v>
      </c>
      <c r="B46" s="2690">
        <f t="shared" ref="B46:C48" si="43">B45/(1+N45)</f>
        <v>210.36075887152265</v>
      </c>
      <c r="C46" s="2690">
        <f t="shared" si="43"/>
        <v>187.94361691492554</v>
      </c>
      <c r="D46" s="2690">
        <f t="shared" si="25"/>
        <v>187.94361691492554</v>
      </c>
      <c r="E46" s="2690">
        <f t="shared" ref="E46:F48" si="44">E45/(1+P45)</f>
        <v>281.70386977288234</v>
      </c>
      <c r="F46" s="2690">
        <f t="shared" si="44"/>
        <v>168.80211511083994</v>
      </c>
      <c r="G46" s="3694">
        <v>2008</v>
      </c>
      <c r="H46" s="2701">
        <v>3</v>
      </c>
      <c r="I46" s="2701">
        <v>1.96</v>
      </c>
      <c r="J46" s="2701">
        <v>2.36</v>
      </c>
      <c r="K46" s="2701">
        <v>1.82</v>
      </c>
      <c r="L46" s="2702">
        <v>2.2200000000000002</v>
      </c>
      <c r="N46" s="2685">
        <f t="shared" si="27"/>
        <v>1.9599999999999999E-2</v>
      </c>
      <c r="O46" s="2686">
        <f t="shared" si="27"/>
        <v>2.3599999999999999E-2</v>
      </c>
      <c r="P46" s="2686">
        <f t="shared" si="27"/>
        <v>1.8200000000000001E-2</v>
      </c>
      <c r="Q46" s="2686">
        <f t="shared" si="27"/>
        <v>2.2200000000000001E-2</v>
      </c>
      <c r="R46" s="2687"/>
      <c r="S46" s="2685"/>
      <c r="T46" s="2686"/>
      <c r="U46" s="2686"/>
      <c r="V46" s="2686"/>
    </row>
    <row r="47" spans="1:26">
      <c r="A47" s="2676" t="s">
        <v>2609</v>
      </c>
      <c r="B47" s="2690">
        <f t="shared" si="43"/>
        <v>206.31694671589116</v>
      </c>
      <c r="C47" s="2690">
        <f t="shared" si="43"/>
        <v>183.61041121036101</v>
      </c>
      <c r="D47" s="2690">
        <f t="shared" si="25"/>
        <v>183.61041121036101</v>
      </c>
      <c r="E47" s="2690">
        <f t="shared" si="44"/>
        <v>276.66850301795557</v>
      </c>
      <c r="F47" s="2690">
        <f t="shared" si="44"/>
        <v>165.1360938278614</v>
      </c>
      <c r="G47" s="3694">
        <v>2008</v>
      </c>
      <c r="H47" s="2681">
        <v>2</v>
      </c>
      <c r="I47" s="2681">
        <v>4.93</v>
      </c>
      <c r="J47" s="2681">
        <v>7.38</v>
      </c>
      <c r="K47" s="2681">
        <v>3.98</v>
      </c>
      <c r="L47" s="2692">
        <v>6.86</v>
      </c>
      <c r="N47" s="2685">
        <f t="shared" si="27"/>
        <v>4.9299999999999997E-2</v>
      </c>
      <c r="O47" s="2686">
        <f t="shared" si="27"/>
        <v>7.3800000000000004E-2</v>
      </c>
      <c r="P47" s="2686">
        <f t="shared" si="27"/>
        <v>3.9800000000000002E-2</v>
      </c>
      <c r="Q47" s="2686">
        <f t="shared" si="27"/>
        <v>6.8600000000000008E-2</v>
      </c>
      <c r="R47" s="2687"/>
      <c r="S47" s="2685"/>
      <c r="T47" s="2686"/>
      <c r="U47" s="2686"/>
      <c r="V47" s="2686"/>
    </row>
    <row r="48" spans="1:26" s="2726" customFormat="1" ht="13.5" thickBot="1">
      <c r="A48" s="2676" t="s">
        <v>2610</v>
      </c>
      <c r="B48" s="2723">
        <f t="shared" si="43"/>
        <v>196.62341248059772</v>
      </c>
      <c r="C48" s="2723">
        <f t="shared" si="43"/>
        <v>170.99125648199012</v>
      </c>
      <c r="D48" s="2723">
        <f t="shared" si="25"/>
        <v>170.99125648199012</v>
      </c>
      <c r="E48" s="2723">
        <f t="shared" si="44"/>
        <v>266.07857570490052</v>
      </c>
      <c r="F48" s="2723">
        <f t="shared" si="44"/>
        <v>154.53499328828505</v>
      </c>
      <c r="G48" s="3695">
        <v>2008</v>
      </c>
      <c r="H48" s="2724">
        <v>1</v>
      </c>
      <c r="I48" s="2724">
        <v>4.1399999999999997</v>
      </c>
      <c r="J48" s="2724">
        <v>3.45</v>
      </c>
      <c r="K48" s="2724">
        <v>4.95</v>
      </c>
      <c r="L48" s="2725">
        <v>4.82</v>
      </c>
      <c r="N48" s="2727">
        <f t="shared" si="27"/>
        <v>4.1399999999999999E-2</v>
      </c>
      <c r="O48" s="2728">
        <f t="shared" si="27"/>
        <v>3.4500000000000003E-2</v>
      </c>
      <c r="P48" s="2728">
        <f t="shared" si="27"/>
        <v>4.9500000000000002E-2</v>
      </c>
      <c r="Q48" s="2728">
        <f t="shared" si="27"/>
        <v>4.82E-2</v>
      </c>
      <c r="R48" s="2729"/>
      <c r="S48" s="2727">
        <f>B48/B49-1</f>
        <v>4.5869215322328349E-2</v>
      </c>
      <c r="T48" s="2728">
        <f>C48/C49-1</f>
        <v>3.6310645345394743E-2</v>
      </c>
      <c r="U48" s="2728">
        <f>E48/E49-1</f>
        <v>4.7553447657088688E-2</v>
      </c>
      <c r="V48" s="2728">
        <f>F48/F49-1</f>
        <v>4.4155360055980086E-2</v>
      </c>
      <c r="X48" s="2730"/>
      <c r="Y48" s="2730"/>
      <c r="Z48" s="2730"/>
    </row>
    <row r="49" spans="1:26" ht="13.5" thickBot="1">
      <c r="A49" s="2676" t="s">
        <v>2611</v>
      </c>
      <c r="B49" s="2682">
        <v>188</v>
      </c>
      <c r="C49" s="2682">
        <v>165</v>
      </c>
      <c r="D49" s="2682">
        <f t="shared" si="25"/>
        <v>165</v>
      </c>
      <c r="E49" s="2682">
        <v>254</v>
      </c>
      <c r="F49" s="2683">
        <v>148</v>
      </c>
      <c r="G49" s="3693">
        <v>2007</v>
      </c>
      <c r="H49" s="2731">
        <v>4</v>
      </c>
      <c r="I49" s="2731">
        <v>5.51</v>
      </c>
      <c r="J49" s="2731">
        <v>4.8899999999999997</v>
      </c>
      <c r="K49" s="2731">
        <v>6.43</v>
      </c>
      <c r="L49" s="2732">
        <v>5.36</v>
      </c>
      <c r="N49" s="2733">
        <f t="shared" ref="N49:O52" si="45">B49/B50-1</f>
        <v>4.1339718365245526E-2</v>
      </c>
      <c r="O49" s="2734">
        <f t="shared" si="45"/>
        <v>4.0324492593776018E-2</v>
      </c>
      <c r="P49" s="2734">
        <f t="shared" ref="P49:Q52" si="46">E49/E50-1</f>
        <v>6.1625555347990968E-2</v>
      </c>
      <c r="Q49" s="2734">
        <f t="shared" si="46"/>
        <v>4.6757569250590603E-2</v>
      </c>
      <c r="R49" s="2687"/>
      <c r="S49" s="2688"/>
      <c r="T49" s="2689"/>
      <c r="U49" s="2689"/>
      <c r="V49" s="2689"/>
      <c r="X49" s="2689"/>
      <c r="Y49" s="2689"/>
      <c r="Z49" s="2689"/>
    </row>
    <row r="50" spans="1:26">
      <c r="A50" s="2676" t="s">
        <v>2612</v>
      </c>
      <c r="B50" s="2690">
        <f t="shared" ref="B50:C52" si="47">B51+(B$49-B$53)*I50/SUM(I$49:I$52)</f>
        <v>180.5366651097618</v>
      </c>
      <c r="C50" s="2690">
        <f t="shared" si="47"/>
        <v>158.60435967302453</v>
      </c>
      <c r="D50" s="2690">
        <f t="shared" si="25"/>
        <v>158.60435967302453</v>
      </c>
      <c r="E50" s="2690">
        <f t="shared" ref="E50:F52" si="48">E51+(E$49-E$53)*K50/SUM(K$49:K$52)</f>
        <v>239.25573260785075</v>
      </c>
      <c r="F50" s="2690">
        <f t="shared" si="48"/>
        <v>141.38899430740037</v>
      </c>
      <c r="G50" s="3694">
        <v>2007</v>
      </c>
      <c r="H50" s="2701">
        <v>3</v>
      </c>
      <c r="I50" s="2701">
        <v>8.65</v>
      </c>
      <c r="J50" s="2701">
        <v>8.06</v>
      </c>
      <c r="K50" s="2701">
        <v>9.94</v>
      </c>
      <c r="L50" s="2702">
        <v>5.8</v>
      </c>
      <c r="N50" s="2733">
        <f t="shared" si="45"/>
        <v>6.940217571740015E-2</v>
      </c>
      <c r="O50" s="2734">
        <f t="shared" si="45"/>
        <v>7.1197482471153428E-2</v>
      </c>
      <c r="P50" s="2734">
        <f t="shared" si="46"/>
        <v>0.10529679922579582</v>
      </c>
      <c r="Q50" s="2734">
        <f t="shared" si="46"/>
        <v>5.3292245059512133E-2</v>
      </c>
      <c r="R50" s="2687"/>
      <c r="S50" s="2685"/>
      <c r="T50" s="2686"/>
      <c r="U50" s="2686"/>
      <c r="V50" s="2686"/>
      <c r="X50" s="2735"/>
      <c r="Y50" s="2735"/>
      <c r="Z50" s="2735"/>
    </row>
    <row r="51" spans="1:26">
      <c r="A51" s="2676" t="s">
        <v>2613</v>
      </c>
      <c r="B51" s="2690">
        <f t="shared" si="47"/>
        <v>168.82017748715555</v>
      </c>
      <c r="C51" s="2690">
        <f t="shared" si="47"/>
        <v>148.06267029972753</v>
      </c>
      <c r="D51" s="2690">
        <f t="shared" si="25"/>
        <v>148.06267029972753</v>
      </c>
      <c r="E51" s="2690">
        <f t="shared" si="48"/>
        <v>216.46288379323747</v>
      </c>
      <c r="F51" s="2690">
        <f t="shared" si="48"/>
        <v>134.23529411764704</v>
      </c>
      <c r="G51" s="3694">
        <v>2007</v>
      </c>
      <c r="H51" s="2681">
        <v>2</v>
      </c>
      <c r="I51" s="2681">
        <v>3.67</v>
      </c>
      <c r="J51" s="2681">
        <v>2.3199999999999998</v>
      </c>
      <c r="K51" s="2681">
        <v>5.0199999999999996</v>
      </c>
      <c r="L51" s="2692">
        <v>6.71</v>
      </c>
      <c r="N51" s="2733">
        <f t="shared" si="45"/>
        <v>3.0339138143848032E-2</v>
      </c>
      <c r="O51" s="2734">
        <f t="shared" si="45"/>
        <v>2.0922341588790472E-2</v>
      </c>
      <c r="P51" s="2734">
        <f t="shared" si="46"/>
        <v>5.6164796592717003E-2</v>
      </c>
      <c r="Q51" s="2734">
        <f t="shared" si="46"/>
        <v>6.5704536723887319E-2</v>
      </c>
      <c r="R51" s="2687"/>
      <c r="S51" s="2685"/>
      <c r="T51" s="2686"/>
      <c r="U51" s="2686"/>
      <c r="V51" s="2686"/>
      <c r="X51" s="2735"/>
      <c r="Y51" s="2735"/>
      <c r="Z51" s="2735"/>
    </row>
    <row r="52" spans="1:26">
      <c r="A52" s="2676" t="s">
        <v>2614</v>
      </c>
      <c r="B52" s="2690">
        <f t="shared" si="47"/>
        <v>163.84913591779542</v>
      </c>
      <c r="C52" s="2690">
        <f t="shared" si="47"/>
        <v>145.0283378746594</v>
      </c>
      <c r="D52" s="2690">
        <f t="shared" si="25"/>
        <v>145.0283378746594</v>
      </c>
      <c r="E52" s="2690">
        <f t="shared" si="48"/>
        <v>204.95180722891567</v>
      </c>
      <c r="F52" s="2690">
        <f t="shared" si="48"/>
        <v>125.95920303605313</v>
      </c>
      <c r="G52" s="3695">
        <v>2007</v>
      </c>
      <c r="H52" s="2680">
        <v>1</v>
      </c>
      <c r="I52" s="2680">
        <v>3.58</v>
      </c>
      <c r="J52" s="2680">
        <v>3.08</v>
      </c>
      <c r="K52" s="2680">
        <v>4.34</v>
      </c>
      <c r="L52" s="2691">
        <v>3.21</v>
      </c>
      <c r="N52" s="2736">
        <f t="shared" si="45"/>
        <v>3.0497710174814063E-2</v>
      </c>
      <c r="O52" s="2737">
        <f t="shared" si="45"/>
        <v>2.8569772160704998E-2</v>
      </c>
      <c r="P52" s="2737">
        <f t="shared" si="46"/>
        <v>5.1034908866234296E-2</v>
      </c>
      <c r="Q52" s="2737">
        <f t="shared" si="46"/>
        <v>3.245248390207478E-2</v>
      </c>
      <c r="R52" s="2687"/>
      <c r="S52" s="2693">
        <f>B52/B53-1</f>
        <v>3.0497710174814063E-2</v>
      </c>
      <c r="T52" s="2694">
        <f>C52/C53-1</f>
        <v>2.8569772160704998E-2</v>
      </c>
      <c r="U52" s="2694">
        <f>E52/E53-1</f>
        <v>5.1034908866234296E-2</v>
      </c>
      <c r="V52" s="2694">
        <f>F52/F53-1</f>
        <v>3.245248390207478E-2</v>
      </c>
      <c r="X52" s="2735"/>
      <c r="Y52" s="2735"/>
      <c r="Z52" s="2735"/>
    </row>
    <row r="53" spans="1:26" ht="13.5" thickBot="1">
      <c r="A53" s="2676" t="s">
        <v>2615</v>
      </c>
      <c r="B53" s="2704">
        <v>159</v>
      </c>
      <c r="C53" s="2704">
        <v>141</v>
      </c>
      <c r="D53" s="2704">
        <f t="shared" si="25"/>
        <v>141</v>
      </c>
      <c r="E53" s="2704">
        <v>195</v>
      </c>
      <c r="F53" s="2705">
        <v>122</v>
      </c>
      <c r="G53" s="3693">
        <v>2006</v>
      </c>
      <c r="H53" s="2696">
        <v>4</v>
      </c>
      <c r="I53" s="2696">
        <v>3.79</v>
      </c>
      <c r="J53" s="2696">
        <v>2.21</v>
      </c>
      <c r="K53" s="2696">
        <v>5.65</v>
      </c>
      <c r="L53" s="2697">
        <v>5.41</v>
      </c>
      <c r="N53" s="2733">
        <f t="shared" ref="N53:O56" si="49">I53/SUM(I$53:I$56)*(B$53/B$57-1)</f>
        <v>7.245466462748526E-2</v>
      </c>
      <c r="O53" s="2734">
        <f t="shared" si="49"/>
        <v>2.3237230038062766E-2</v>
      </c>
      <c r="P53" s="2734">
        <f t="shared" ref="P53:Q56" si="50">K53/SUM(K$53:K$56)*(E$53/E$57-1)</f>
        <v>0.16146893866323722</v>
      </c>
      <c r="Q53" s="2734">
        <f t="shared" si="50"/>
        <v>5.0755230321793784E-2</v>
      </c>
      <c r="R53" s="2687"/>
      <c r="S53" s="2688"/>
      <c r="T53" s="2689"/>
      <c r="U53" s="2689"/>
      <c r="V53" s="2689"/>
      <c r="X53" s="2735"/>
      <c r="Y53" s="2735"/>
      <c r="Z53" s="2735"/>
    </row>
    <row r="54" spans="1:26">
      <c r="A54" s="2676" t="s">
        <v>2616</v>
      </c>
      <c r="B54" s="2690">
        <f t="shared" ref="B54:C56" si="51">B55+(B$53-B$57)*I54/SUM(I$53:I$56)</f>
        <v>149.00125628140702</v>
      </c>
      <c r="C54" s="2690">
        <f t="shared" si="51"/>
        <v>137.95592286501378</v>
      </c>
      <c r="D54" s="2690">
        <f t="shared" si="25"/>
        <v>137.95592286501378</v>
      </c>
      <c r="E54" s="2690">
        <f t="shared" ref="E54:F56" si="52">E55+(E$53-E$57)*K54/SUM(K$53:K$56)</f>
        <v>169.97231450719823</v>
      </c>
      <c r="F54" s="2690">
        <f t="shared" si="52"/>
        <v>116.21390374331551</v>
      </c>
      <c r="G54" s="3694">
        <v>2006</v>
      </c>
      <c r="H54" s="2701">
        <v>3</v>
      </c>
      <c r="I54" s="2701">
        <v>0.92</v>
      </c>
      <c r="J54" s="2701">
        <v>1.08</v>
      </c>
      <c r="K54" s="2701">
        <v>0.73</v>
      </c>
      <c r="L54" s="2702">
        <v>1.08</v>
      </c>
      <c r="N54" s="2733">
        <f t="shared" si="49"/>
        <v>1.7587939698492462E-2</v>
      </c>
      <c r="O54" s="2734">
        <f t="shared" si="49"/>
        <v>1.1355750425840628E-2</v>
      </c>
      <c r="P54" s="2734">
        <f t="shared" si="50"/>
        <v>2.0862358446754544E-2</v>
      </c>
      <c r="Q54" s="2734">
        <f t="shared" si="50"/>
        <v>1.0132282578103011E-2</v>
      </c>
      <c r="R54" s="2687"/>
      <c r="S54" s="2685"/>
      <c r="T54" s="2686"/>
      <c r="U54" s="2686"/>
      <c r="V54" s="2686"/>
      <c r="X54" s="2735"/>
      <c r="Y54" s="2735"/>
      <c r="Z54" s="2735"/>
    </row>
    <row r="55" spans="1:26">
      <c r="A55" s="2676" t="s">
        <v>2617</v>
      </c>
      <c r="B55" s="2690">
        <f t="shared" si="51"/>
        <v>146.57412060301507</v>
      </c>
      <c r="C55" s="2690">
        <f t="shared" si="51"/>
        <v>136.46831955922866</v>
      </c>
      <c r="D55" s="2690">
        <f t="shared" si="25"/>
        <v>136.46831955922866</v>
      </c>
      <c r="E55" s="2690">
        <f t="shared" si="52"/>
        <v>166.73864894795128</v>
      </c>
      <c r="F55" s="2690">
        <f t="shared" si="52"/>
        <v>115.05882352941177</v>
      </c>
      <c r="G55" s="3694">
        <v>2006</v>
      </c>
      <c r="H55" s="2681">
        <v>2</v>
      </c>
      <c r="I55" s="2681">
        <v>0.96</v>
      </c>
      <c r="J55" s="2681">
        <v>0.25</v>
      </c>
      <c r="K55" s="2681">
        <v>1.9</v>
      </c>
      <c r="L55" s="2692">
        <v>0.95</v>
      </c>
      <c r="N55" s="2733">
        <f t="shared" si="49"/>
        <v>1.8352632728861701E-2</v>
      </c>
      <c r="O55" s="2734">
        <f t="shared" si="49"/>
        <v>2.6286459319075526E-3</v>
      </c>
      <c r="P55" s="2734">
        <f t="shared" si="50"/>
        <v>5.4299289107991269E-2</v>
      </c>
      <c r="Q55" s="2734">
        <f t="shared" si="50"/>
        <v>8.9126559714794995E-3</v>
      </c>
      <c r="R55" s="2687"/>
      <c r="S55" s="2685"/>
      <c r="T55" s="2686"/>
      <c r="U55" s="2686"/>
      <c r="V55" s="2686"/>
      <c r="X55" s="2735"/>
      <c r="Y55" s="2735"/>
      <c r="Z55" s="2735"/>
    </row>
    <row r="56" spans="1:26">
      <c r="A56" s="2676" t="s">
        <v>2618</v>
      </c>
      <c r="B56" s="2690">
        <f t="shared" si="51"/>
        <v>144.04145728643215</v>
      </c>
      <c r="C56" s="2690">
        <f t="shared" si="51"/>
        <v>136.12396694214877</v>
      </c>
      <c r="D56" s="2690">
        <f t="shared" si="25"/>
        <v>136.12396694214877</v>
      </c>
      <c r="E56" s="2690">
        <f t="shared" si="52"/>
        <v>158.32225913621264</v>
      </c>
      <c r="F56" s="2690">
        <f t="shared" si="52"/>
        <v>114.04278074866311</v>
      </c>
      <c r="G56" s="3695">
        <v>2006</v>
      </c>
      <c r="H56" s="2680">
        <v>1</v>
      </c>
      <c r="I56" s="2680">
        <v>2.29</v>
      </c>
      <c r="J56" s="2680">
        <v>3.72</v>
      </c>
      <c r="K56" s="2680">
        <v>0.75</v>
      </c>
      <c r="L56" s="2691">
        <v>0.04</v>
      </c>
      <c r="N56" s="2736">
        <f t="shared" si="49"/>
        <v>4.3778675988638847E-2</v>
      </c>
      <c r="O56" s="2737">
        <f t="shared" si="49"/>
        <v>3.9114251466784385E-2</v>
      </c>
      <c r="P56" s="2737">
        <f t="shared" si="50"/>
        <v>2.1433929911049188E-2</v>
      </c>
      <c r="Q56" s="2737">
        <f t="shared" si="50"/>
        <v>3.7526972511492629E-4</v>
      </c>
      <c r="R56" s="2687"/>
      <c r="S56" s="2693">
        <f>B56/B57-1</f>
        <v>4.3778675988638716E-2</v>
      </c>
      <c r="T56" s="2694">
        <f>C56/C57-1</f>
        <v>3.91142514667846E-2</v>
      </c>
      <c r="U56" s="2694">
        <f>E56/E57-1</f>
        <v>2.143392991104931E-2</v>
      </c>
      <c r="V56" s="2694">
        <f>F56/F57-1</f>
        <v>3.7526972511492396E-4</v>
      </c>
      <c r="X56" s="2735"/>
      <c r="Y56" s="2735"/>
      <c r="Z56" s="2735"/>
    </row>
    <row r="57" spans="1:26" ht="13.5" thickBot="1">
      <c r="A57" s="2676" t="s">
        <v>2619</v>
      </c>
      <c r="B57" s="2704">
        <v>138</v>
      </c>
      <c r="C57" s="2704">
        <v>131</v>
      </c>
      <c r="D57" s="2704">
        <f t="shared" si="25"/>
        <v>131</v>
      </c>
      <c r="E57" s="2704">
        <v>155</v>
      </c>
      <c r="F57" s="2705">
        <v>114</v>
      </c>
      <c r="G57" s="3693">
        <v>2005</v>
      </c>
      <c r="H57" s="2696">
        <v>4</v>
      </c>
      <c r="I57" s="2696">
        <v>3.29</v>
      </c>
      <c r="J57" s="2696">
        <v>1.44</v>
      </c>
      <c r="K57" s="2696">
        <v>0.66</v>
      </c>
      <c r="L57" s="2697">
        <v>7.78</v>
      </c>
      <c r="N57" s="2733">
        <f t="shared" ref="N57:O60" si="53">I57/SUM(I$57:I$60)*(B$57/B$61-1)</f>
        <v>9.9404603216919935E-2</v>
      </c>
      <c r="O57" s="2734">
        <f t="shared" si="53"/>
        <v>4.7636550760861554E-2</v>
      </c>
      <c r="P57" s="2734">
        <f t="shared" ref="P57:Q60" si="54">K57/SUM(K$57:K$60)*(E$57/E$61-1)</f>
        <v>8.3756345177664976E-2</v>
      </c>
      <c r="Q57" s="2734">
        <f t="shared" si="54"/>
        <v>5.2148766661559584E-2</v>
      </c>
      <c r="R57" s="2687"/>
      <c r="S57" s="2688"/>
      <c r="T57" s="2689"/>
      <c r="U57" s="2689"/>
      <c r="V57" s="2689"/>
      <c r="X57" s="2735"/>
      <c r="Y57" s="2735"/>
      <c r="Z57" s="2735"/>
    </row>
    <row r="58" spans="1:26">
      <c r="A58" s="2676" t="s">
        <v>2620</v>
      </c>
      <c r="B58" s="2690">
        <f t="shared" ref="B58:C60" si="55">B59+(B$57-B$61)*I58/SUM(I$57:I$60)</f>
        <v>125.9720430107527</v>
      </c>
      <c r="C58" s="2690">
        <f t="shared" si="55"/>
        <v>125.1883408071749</v>
      </c>
      <c r="D58" s="2690">
        <f t="shared" si="25"/>
        <v>125.1883408071749</v>
      </c>
      <c r="E58" s="2690">
        <f t="shared" ref="E58:F60" si="56">E59+(E$57-E$61)*K58/SUM(K$57:K$60)</f>
        <v>144.61421319796952</v>
      </c>
      <c r="F58" s="2690">
        <f t="shared" si="56"/>
        <v>108.42008196721311</v>
      </c>
      <c r="G58" s="3694">
        <v>2005</v>
      </c>
      <c r="H58" s="2701">
        <v>3</v>
      </c>
      <c r="I58" s="2701">
        <v>0.46</v>
      </c>
      <c r="J58" s="2701">
        <v>0.32</v>
      </c>
      <c r="K58" s="2701">
        <v>0.42</v>
      </c>
      <c r="L58" s="2702">
        <v>0.64</v>
      </c>
      <c r="N58" s="2733">
        <f t="shared" si="53"/>
        <v>1.3898515951301874E-2</v>
      </c>
      <c r="O58" s="2734">
        <f t="shared" si="53"/>
        <v>1.0585900169080346E-2</v>
      </c>
      <c r="P58" s="2734">
        <f t="shared" si="54"/>
        <v>5.3299492385786795E-2</v>
      </c>
      <c r="Q58" s="2734">
        <f t="shared" si="54"/>
        <v>4.2898728359123568E-3</v>
      </c>
      <c r="R58" s="2687"/>
      <c r="S58" s="2685"/>
      <c r="T58" s="2686"/>
      <c r="U58" s="2686"/>
      <c r="V58" s="2686"/>
      <c r="X58" s="2735"/>
      <c r="Y58" s="2735"/>
      <c r="Z58" s="2735"/>
    </row>
    <row r="59" spans="1:26">
      <c r="A59" s="2676" t="s">
        <v>2621</v>
      </c>
      <c r="B59" s="2690">
        <f t="shared" si="55"/>
        <v>124.29032258064517</v>
      </c>
      <c r="C59" s="2690">
        <f t="shared" si="55"/>
        <v>123.8968609865471</v>
      </c>
      <c r="D59" s="2690">
        <f t="shared" si="25"/>
        <v>123.8968609865471</v>
      </c>
      <c r="E59" s="2690">
        <f t="shared" si="56"/>
        <v>138.00507614213197</v>
      </c>
      <c r="F59" s="2690">
        <f t="shared" si="56"/>
        <v>107.96106557377048</v>
      </c>
      <c r="G59" s="3694">
        <v>2005</v>
      </c>
      <c r="H59" s="2681">
        <v>2</v>
      </c>
      <c r="I59" s="2681">
        <v>0.47</v>
      </c>
      <c r="J59" s="2681">
        <v>0.1</v>
      </c>
      <c r="K59" s="2681">
        <v>0.52</v>
      </c>
      <c r="L59" s="2692">
        <v>0.79</v>
      </c>
      <c r="N59" s="2733">
        <f t="shared" si="53"/>
        <v>1.420065760241713E-2</v>
      </c>
      <c r="O59" s="2734">
        <f t="shared" si="53"/>
        <v>3.3080938028376083E-3</v>
      </c>
      <c r="P59" s="2734">
        <f t="shared" si="54"/>
        <v>6.598984771573603E-2</v>
      </c>
      <c r="Q59" s="2734">
        <f t="shared" si="54"/>
        <v>5.2953117818293153E-3</v>
      </c>
      <c r="R59" s="2687"/>
      <c r="S59" s="2685"/>
      <c r="T59" s="2686"/>
      <c r="U59" s="2686"/>
      <c r="V59" s="2686"/>
      <c r="X59" s="2735"/>
      <c r="Y59" s="2735"/>
      <c r="Z59" s="2735"/>
    </row>
    <row r="60" spans="1:26">
      <c r="A60" s="2676" t="s">
        <v>2622</v>
      </c>
      <c r="B60" s="2690">
        <f t="shared" si="55"/>
        <v>122.57204301075269</v>
      </c>
      <c r="C60" s="2690">
        <f t="shared" si="55"/>
        <v>123.4932735426009</v>
      </c>
      <c r="D60" s="2690">
        <f t="shared" si="25"/>
        <v>123.4932735426009</v>
      </c>
      <c r="E60" s="2690">
        <f t="shared" si="56"/>
        <v>129.82233502538071</v>
      </c>
      <c r="F60" s="2690">
        <f t="shared" si="56"/>
        <v>107.39446721311475</v>
      </c>
      <c r="G60" s="3695">
        <v>2005</v>
      </c>
      <c r="H60" s="2680">
        <v>1</v>
      </c>
      <c r="I60" s="2680">
        <v>0.43</v>
      </c>
      <c r="J60" s="2680">
        <v>0.37</v>
      </c>
      <c r="K60" s="2680">
        <v>0.37</v>
      </c>
      <c r="L60" s="2691">
        <v>0.55000000000000004</v>
      </c>
      <c r="N60" s="2736">
        <f t="shared" si="53"/>
        <v>1.2992090997956099E-2</v>
      </c>
      <c r="O60" s="2737">
        <f t="shared" si="53"/>
        <v>1.2239947070499151E-2</v>
      </c>
      <c r="P60" s="2737">
        <f t="shared" si="54"/>
        <v>4.6954314720812178E-2</v>
      </c>
      <c r="Q60" s="2737">
        <f t="shared" si="54"/>
        <v>3.6866094683621815E-3</v>
      </c>
      <c r="R60" s="2687"/>
      <c r="S60" s="2693">
        <f>B60/B61-1</f>
        <v>1.2992090997956174E-2</v>
      </c>
      <c r="T60" s="2694">
        <f>C60/C61-1</f>
        <v>1.2239947070499246E-2</v>
      </c>
      <c r="U60" s="2694">
        <f>E60/E61-1</f>
        <v>4.695431472081224E-2</v>
      </c>
      <c r="V60" s="2694">
        <f>F60/F61-1</f>
        <v>3.6866094683620787E-3</v>
      </c>
      <c r="X60" s="2735"/>
      <c r="Y60" s="2735"/>
      <c r="Z60" s="2735"/>
    </row>
    <row r="61" spans="1:26" ht="13.5" thickBot="1">
      <c r="A61" s="2676" t="s">
        <v>2623</v>
      </c>
      <c r="B61" s="2720">
        <v>121</v>
      </c>
      <c r="C61" s="2720">
        <v>122</v>
      </c>
      <c r="D61" s="2720">
        <f t="shared" si="25"/>
        <v>122</v>
      </c>
      <c r="E61" s="2720">
        <v>124</v>
      </c>
      <c r="F61" s="2721">
        <v>107</v>
      </c>
      <c r="G61" s="3693">
        <v>2004</v>
      </c>
      <c r="H61" s="2696">
        <v>4</v>
      </c>
      <c r="I61" s="2696">
        <v>0.33</v>
      </c>
      <c r="J61" s="2696">
        <v>0.5</v>
      </c>
      <c r="K61" s="2696">
        <v>0.5</v>
      </c>
      <c r="L61" s="2697">
        <v>0</v>
      </c>
      <c r="N61" s="2733">
        <f t="shared" ref="N61:O64" si="57">I61/SUM(I$61:I$64)*(B$61/B$65-1)</f>
        <v>1.3391770148526898E-2</v>
      </c>
      <c r="O61" s="2734">
        <f t="shared" si="57"/>
        <v>1.063264221158958E-2</v>
      </c>
      <c r="P61" s="2734">
        <f t="shared" ref="P61:Q64" si="58">K61/SUM(K$61:K$64)*(E$61/E$65-1)</f>
        <v>2.2244466688911134E-2</v>
      </c>
      <c r="Q61" s="2734">
        <f t="shared" si="58"/>
        <v>0</v>
      </c>
      <c r="R61" s="2687"/>
      <c r="S61" s="2688"/>
      <c r="T61" s="2689"/>
      <c r="U61" s="2689"/>
      <c r="V61" s="2689"/>
      <c r="X61" s="2735"/>
      <c r="Y61" s="2735"/>
      <c r="Z61" s="2735"/>
    </row>
    <row r="62" spans="1:26">
      <c r="A62" s="2676" t="s">
        <v>2624</v>
      </c>
      <c r="B62" s="2690">
        <f t="shared" ref="B62:C64" si="59">B63+(B$61-B$65)*I62/SUM(I$61:I$64)</f>
        <v>119.51351351351352</v>
      </c>
      <c r="C62" s="2690">
        <f t="shared" si="59"/>
        <v>120.7878787878788</v>
      </c>
      <c r="D62" s="2690">
        <f t="shared" si="25"/>
        <v>120.7878787878788</v>
      </c>
      <c r="E62" s="2690">
        <f t="shared" ref="E62:F64" si="60">E63+(E$61-E$65)*K62/SUM(K$61:K$64)</f>
        <v>121.5975975975976</v>
      </c>
      <c r="F62" s="2690">
        <f t="shared" si="60"/>
        <v>107</v>
      </c>
      <c r="G62" s="3694">
        <v>2004</v>
      </c>
      <c r="H62" s="2701">
        <v>3</v>
      </c>
      <c r="I62" s="2701">
        <v>0.56000000000000005</v>
      </c>
      <c r="J62" s="2701">
        <v>0.8</v>
      </c>
      <c r="K62" s="2701">
        <v>0.83</v>
      </c>
      <c r="L62" s="2702">
        <v>0.06</v>
      </c>
      <c r="N62" s="2733">
        <f t="shared" si="57"/>
        <v>2.2725428130833527E-2</v>
      </c>
      <c r="O62" s="2734">
        <f t="shared" si="57"/>
        <v>1.7012227538543329E-2</v>
      </c>
      <c r="P62" s="2734">
        <f t="shared" si="58"/>
        <v>3.6925814703592477E-2</v>
      </c>
      <c r="Q62" s="2734">
        <f t="shared" si="58"/>
        <v>2.8846153846153744E-2</v>
      </c>
      <c r="R62" s="2687"/>
      <c r="S62" s="2685"/>
      <c r="T62" s="2686"/>
      <c r="U62" s="2686"/>
      <c r="V62" s="2686"/>
      <c r="X62" s="2735"/>
      <c r="Y62" s="2735"/>
      <c r="Z62" s="2735"/>
    </row>
    <row r="63" spans="1:26">
      <c r="A63" s="2676" t="s">
        <v>2625</v>
      </c>
      <c r="B63" s="2690">
        <f t="shared" si="59"/>
        <v>116.99099099099099</v>
      </c>
      <c r="C63" s="2690">
        <f t="shared" si="59"/>
        <v>118.84848484848486</v>
      </c>
      <c r="D63" s="2690">
        <f t="shared" si="25"/>
        <v>118.84848484848486</v>
      </c>
      <c r="E63" s="2690">
        <f t="shared" si="60"/>
        <v>117.60960960960961</v>
      </c>
      <c r="F63" s="2690">
        <f t="shared" si="60"/>
        <v>104</v>
      </c>
      <c r="G63" s="3694">
        <v>2004</v>
      </c>
      <c r="H63" s="2681">
        <v>2</v>
      </c>
      <c r="I63" s="2681">
        <v>1</v>
      </c>
      <c r="J63" s="2681">
        <v>1.5</v>
      </c>
      <c r="K63" s="2681">
        <v>1.5</v>
      </c>
      <c r="L63" s="2692">
        <v>0</v>
      </c>
      <c r="N63" s="2733">
        <f t="shared" si="57"/>
        <v>4.0581121662202721E-2</v>
      </c>
      <c r="O63" s="2734">
        <f t="shared" si="57"/>
        <v>3.1897926634768738E-2</v>
      </c>
      <c r="P63" s="2734">
        <f t="shared" si="58"/>
        <v>6.6733400066733395E-2</v>
      </c>
      <c r="Q63" s="2734">
        <f t="shared" si="58"/>
        <v>0</v>
      </c>
      <c r="R63" s="2687"/>
      <c r="S63" s="2685"/>
      <c r="T63" s="2686"/>
      <c r="U63" s="2686"/>
      <c r="V63" s="2686"/>
      <c r="X63" s="2735"/>
      <c r="Y63" s="2735"/>
      <c r="Z63" s="2735"/>
    </row>
    <row r="64" spans="1:26" s="2726" customFormat="1" ht="13.5" thickBot="1">
      <c r="A64" s="2676" t="s">
        <v>2626</v>
      </c>
      <c r="B64" s="2723">
        <f t="shared" si="59"/>
        <v>112.48648648648648</v>
      </c>
      <c r="C64" s="2723">
        <f t="shared" si="59"/>
        <v>115.21212121212122</v>
      </c>
      <c r="D64" s="2723">
        <f t="shared" si="25"/>
        <v>115.21212121212122</v>
      </c>
      <c r="E64" s="2723">
        <f t="shared" si="60"/>
        <v>110.4024024024024</v>
      </c>
      <c r="F64" s="2723">
        <f t="shared" si="60"/>
        <v>104</v>
      </c>
      <c r="G64" s="3695">
        <v>2004</v>
      </c>
      <c r="H64" s="2724">
        <v>1</v>
      </c>
      <c r="I64" s="2724">
        <v>0.33</v>
      </c>
      <c r="J64" s="2724">
        <v>0.5</v>
      </c>
      <c r="K64" s="2724">
        <v>0.5</v>
      </c>
      <c r="L64" s="2725">
        <v>0</v>
      </c>
      <c r="N64" s="2738">
        <f t="shared" si="57"/>
        <v>1.3391770148526898E-2</v>
      </c>
      <c r="O64" s="2739">
        <f t="shared" si="57"/>
        <v>1.063264221158958E-2</v>
      </c>
      <c r="P64" s="2739">
        <f t="shared" si="58"/>
        <v>2.2244466688911134E-2</v>
      </c>
      <c r="Q64" s="2739">
        <f t="shared" si="58"/>
        <v>0</v>
      </c>
      <c r="R64" s="2729"/>
      <c r="S64" s="2727">
        <f>B64/B65-1</f>
        <v>1.3391770148526883E-2</v>
      </c>
      <c r="T64" s="2728">
        <f>C64/C65-1</f>
        <v>1.063264221158966E-2</v>
      </c>
      <c r="U64" s="2728">
        <f>E64/E65-1</f>
        <v>2.2244466688911224E-2</v>
      </c>
      <c r="V64" s="2728">
        <f>F64/F65-1</f>
        <v>0</v>
      </c>
      <c r="X64" s="2740"/>
      <c r="Y64" s="2740"/>
      <c r="Z64" s="2740"/>
    </row>
    <row r="65" spans="1:26" ht="13.5" thickBot="1">
      <c r="A65" s="2676" t="s">
        <v>2627</v>
      </c>
      <c r="B65" s="2741">
        <v>111</v>
      </c>
      <c r="C65" s="2741">
        <v>114</v>
      </c>
      <c r="D65" s="2741">
        <f t="shared" si="25"/>
        <v>114</v>
      </c>
      <c r="E65" s="2741">
        <v>108</v>
      </c>
      <c r="F65" s="2742">
        <v>104</v>
      </c>
      <c r="G65" s="3693">
        <v>2003</v>
      </c>
      <c r="H65" s="2731">
        <v>4</v>
      </c>
      <c r="I65" s="2743"/>
      <c r="J65" s="2743"/>
      <c r="K65" s="2743"/>
      <c r="L65" s="2743"/>
      <c r="N65" s="2744"/>
      <c r="O65" s="2743"/>
      <c r="P65" s="2743"/>
      <c r="Q65" s="2743"/>
      <c r="S65" s="2744"/>
      <c r="T65" s="2743"/>
      <c r="U65" s="2743"/>
      <c r="V65" s="2743"/>
      <c r="X65" s="2735"/>
      <c r="Y65" s="2735"/>
      <c r="Z65" s="2735"/>
    </row>
    <row r="66" spans="1:26">
      <c r="A66" s="2676" t="s">
        <v>2628</v>
      </c>
      <c r="B66" s="2745">
        <f t="shared" ref="B66:C68" si="61">B67+(B$65-B$69)/4</f>
        <v>109.75</v>
      </c>
      <c r="C66" s="2745">
        <f t="shared" si="61"/>
        <v>112.25</v>
      </c>
      <c r="D66" s="2745">
        <f t="shared" si="25"/>
        <v>112.25</v>
      </c>
      <c r="E66" s="2745">
        <f t="shared" ref="E66:F68" si="62">E67+(E$65-E$69)/4</f>
        <v>107.25</v>
      </c>
      <c r="F66" s="2745">
        <f t="shared" si="62"/>
        <v>103.5</v>
      </c>
      <c r="G66" s="3694">
        <v>2003</v>
      </c>
      <c r="H66" s="2701">
        <v>3</v>
      </c>
      <c r="I66" s="2743"/>
      <c r="J66" s="2743"/>
      <c r="K66" s="2743"/>
      <c r="L66" s="2743"/>
      <c r="X66" s="2735"/>
      <c r="Y66" s="2735"/>
      <c r="Z66" s="2735"/>
    </row>
    <row r="67" spans="1:26">
      <c r="A67" s="2676" t="s">
        <v>2629</v>
      </c>
      <c r="B67" s="2745">
        <f t="shared" si="61"/>
        <v>108.5</v>
      </c>
      <c r="C67" s="2745">
        <f t="shared" si="61"/>
        <v>110.5</v>
      </c>
      <c r="D67" s="2745">
        <f t="shared" si="25"/>
        <v>110.5</v>
      </c>
      <c r="E67" s="2745">
        <f t="shared" si="62"/>
        <v>106.5</v>
      </c>
      <c r="F67" s="2745">
        <f t="shared" si="62"/>
        <v>103</v>
      </c>
      <c r="G67" s="3694">
        <v>2003</v>
      </c>
      <c r="H67" s="2681">
        <v>2</v>
      </c>
      <c r="I67" s="2743"/>
      <c r="J67" s="2743"/>
      <c r="K67" s="2743"/>
      <c r="L67" s="2743"/>
      <c r="X67" s="2735"/>
      <c r="Y67" s="2735"/>
      <c r="Z67" s="2735"/>
    </row>
    <row r="68" spans="1:26" ht="13.5" thickBot="1">
      <c r="A68" s="2676" t="s">
        <v>2630</v>
      </c>
      <c r="B68" s="2745">
        <f t="shared" si="61"/>
        <v>107.25</v>
      </c>
      <c r="C68" s="2745">
        <f t="shared" si="61"/>
        <v>108.75</v>
      </c>
      <c r="D68" s="2745">
        <f t="shared" si="25"/>
        <v>108.75</v>
      </c>
      <c r="E68" s="2745">
        <f t="shared" si="62"/>
        <v>105.75</v>
      </c>
      <c r="F68" s="2745">
        <f t="shared" si="62"/>
        <v>102.5</v>
      </c>
      <c r="G68" s="3695">
        <v>2003</v>
      </c>
      <c r="H68" s="2746">
        <v>1</v>
      </c>
      <c r="I68" s="2743"/>
      <c r="J68" s="2743"/>
      <c r="K68" s="2743"/>
      <c r="L68" s="2743"/>
      <c r="S68" s="2685"/>
      <c r="T68" s="2686"/>
      <c r="U68" s="2686"/>
      <c r="X68" s="2735"/>
      <c r="Y68" s="2735"/>
      <c r="Z68" s="2735"/>
    </row>
    <row r="69" spans="1:26" ht="13.5" thickBot="1">
      <c r="A69" s="2676" t="s">
        <v>2631</v>
      </c>
      <c r="B69" s="2747">
        <v>106</v>
      </c>
      <c r="C69" s="2747">
        <v>107</v>
      </c>
      <c r="D69" s="2747">
        <f t="shared" si="25"/>
        <v>107</v>
      </c>
      <c r="E69" s="2747">
        <v>105</v>
      </c>
      <c r="F69" s="2748">
        <v>102</v>
      </c>
      <c r="G69" s="3693">
        <v>2002</v>
      </c>
      <c r="H69" s="2696">
        <v>4</v>
      </c>
      <c r="I69" s="2743"/>
      <c r="J69" s="2743"/>
      <c r="K69" s="2743"/>
      <c r="L69" s="2743"/>
      <c r="N69" s="2744"/>
      <c r="O69" s="2743"/>
      <c r="P69" s="2743"/>
      <c r="Q69" s="2743"/>
      <c r="S69" s="2744"/>
      <c r="T69" s="2743"/>
      <c r="U69" s="2743"/>
      <c r="V69" s="2743"/>
      <c r="X69" s="2735"/>
      <c r="Y69" s="2735"/>
      <c r="Z69" s="2735"/>
    </row>
    <row r="70" spans="1:26">
      <c r="A70" s="2676" t="s">
        <v>2632</v>
      </c>
      <c r="B70" s="2745">
        <f t="shared" ref="B70:C72" si="63">B71+(B$69-B$73)/4</f>
        <v>105</v>
      </c>
      <c r="C70" s="2745">
        <f t="shared" si="63"/>
        <v>106</v>
      </c>
      <c r="D70" s="2745">
        <f t="shared" si="25"/>
        <v>106</v>
      </c>
      <c r="E70" s="2745">
        <f t="shared" ref="E70:F72" si="64">E71+(E$69-E$73)/4</f>
        <v>104.5</v>
      </c>
      <c r="F70" s="2745">
        <f t="shared" si="64"/>
        <v>101.5</v>
      </c>
      <c r="G70" s="3694">
        <v>2002</v>
      </c>
      <c r="H70" s="2701">
        <v>3</v>
      </c>
      <c r="I70" s="2743"/>
      <c r="J70" s="2743"/>
      <c r="K70" s="2743"/>
      <c r="L70" s="2743"/>
      <c r="X70" s="2735"/>
      <c r="Y70" s="2735"/>
      <c r="Z70" s="2735"/>
    </row>
    <row r="71" spans="1:26">
      <c r="A71" s="2676" t="s">
        <v>2633</v>
      </c>
      <c r="B71" s="2745">
        <f t="shared" si="63"/>
        <v>104</v>
      </c>
      <c r="C71" s="2745">
        <f t="shared" si="63"/>
        <v>105</v>
      </c>
      <c r="D71" s="2745">
        <f t="shared" si="25"/>
        <v>105</v>
      </c>
      <c r="E71" s="2745">
        <f t="shared" si="64"/>
        <v>104</v>
      </c>
      <c r="F71" s="2745">
        <f t="shared" si="64"/>
        <v>101</v>
      </c>
      <c r="G71" s="3694">
        <v>2002</v>
      </c>
      <c r="H71" s="2681">
        <v>2</v>
      </c>
      <c r="I71" s="2743"/>
      <c r="J71" s="2743"/>
      <c r="K71" s="2743"/>
      <c r="L71" s="2743"/>
      <c r="X71" s="2735"/>
      <c r="Y71" s="2735"/>
      <c r="Z71" s="2735"/>
    </row>
    <row r="72" spans="1:26" s="2712" customFormat="1" ht="13.5" thickBot="1">
      <c r="A72" s="2708" t="s">
        <v>2634</v>
      </c>
      <c r="B72" s="2749">
        <f t="shared" si="63"/>
        <v>103</v>
      </c>
      <c r="C72" s="2749">
        <f t="shared" si="63"/>
        <v>104</v>
      </c>
      <c r="D72" s="2749">
        <f t="shared" si="25"/>
        <v>104</v>
      </c>
      <c r="E72" s="2749">
        <f t="shared" si="64"/>
        <v>103.5</v>
      </c>
      <c r="F72" s="2749">
        <f t="shared" si="64"/>
        <v>100.5</v>
      </c>
      <c r="G72" s="3695">
        <v>2002</v>
      </c>
      <c r="H72" s="2750">
        <v>1</v>
      </c>
      <c r="I72" s="2751"/>
      <c r="J72" s="2751"/>
      <c r="K72" s="2751"/>
      <c r="L72" s="2751"/>
      <c r="N72" s="2752"/>
      <c r="S72" s="2752"/>
      <c r="X72" s="2753"/>
      <c r="Y72" s="2753"/>
      <c r="Z72" s="2753"/>
    </row>
    <row r="73" spans="1:26" ht="13.5" thickBot="1">
      <c r="B73" s="2754">
        <v>102</v>
      </c>
      <c r="C73" s="2755">
        <v>103</v>
      </c>
      <c r="D73" s="2755">
        <f t="shared" si="25"/>
        <v>103</v>
      </c>
      <c r="E73" s="2755">
        <v>103</v>
      </c>
      <c r="F73" s="2756">
        <v>100</v>
      </c>
      <c r="I73" s="2743"/>
      <c r="J73" s="2743"/>
      <c r="K73" s="2743"/>
      <c r="L73" s="2743"/>
      <c r="N73" s="2744"/>
      <c r="O73" s="2743"/>
      <c r="P73" s="2743"/>
      <c r="Q73" s="2743"/>
      <c r="S73" s="2744"/>
      <c r="T73" s="2743"/>
      <c r="U73" s="2743"/>
      <c r="V73" s="2743"/>
      <c r="X73" s="2689"/>
      <c r="Y73" s="2689"/>
      <c r="Z73" s="2689"/>
    </row>
    <row r="75" spans="1:26" s="2758" customFormat="1">
      <c r="A75" s="2757" t="s">
        <v>2635</v>
      </c>
      <c r="G75" s="2759"/>
      <c r="N75" s="2759"/>
      <c r="S75" s="2759"/>
    </row>
    <row r="76" spans="1:26" s="2758" customFormat="1">
      <c r="A76" s="2758" t="s">
        <v>2636</v>
      </c>
      <c r="G76" s="2759"/>
      <c r="N76" s="2759"/>
      <c r="S76" s="2759"/>
    </row>
    <row r="77" spans="1:26" s="2758" customFormat="1">
      <c r="A77" s="2758" t="s">
        <v>2637</v>
      </c>
      <c r="G77" s="2759"/>
      <c r="I77" s="2760"/>
      <c r="J77" s="2760"/>
      <c r="K77" s="2760"/>
      <c r="L77" s="2760"/>
      <c r="N77" s="2761"/>
      <c r="O77" s="2760"/>
      <c r="P77" s="2760"/>
      <c r="Q77" s="2760"/>
      <c r="S77" s="2761"/>
      <c r="T77" s="2760"/>
      <c r="U77" s="2760"/>
      <c r="V77" s="2760"/>
    </row>
    <row r="78" spans="1:26" s="2758" customFormat="1">
      <c r="A78" s="2758" t="s">
        <v>2638</v>
      </c>
      <c r="G78" s="2759"/>
      <c r="N78" s="2759"/>
      <c r="S78" s="2759"/>
    </row>
    <row r="85" spans="7:22" ht="13.5" thickBot="1"/>
    <row r="86" spans="7:22">
      <c r="G86" s="2684"/>
      <c r="S86" s="2762" t="s">
        <v>2639</v>
      </c>
      <c r="T86" s="2763" t="s">
        <v>2640</v>
      </c>
      <c r="U86" s="2763" t="s">
        <v>2641</v>
      </c>
      <c r="V86" s="2763" t="s">
        <v>2642</v>
      </c>
    </row>
    <row r="87" spans="7:22">
      <c r="G87" s="2684"/>
      <c r="N87" s="2688"/>
      <c r="O87" s="2689"/>
      <c r="P87" s="2689"/>
      <c r="Q87" s="2689"/>
      <c r="S87" s="2764">
        <v>2006</v>
      </c>
      <c r="T87" s="2765">
        <v>15.1</v>
      </c>
      <c r="U87" s="2765">
        <v>7.43</v>
      </c>
      <c r="V87" s="2765">
        <v>26.26</v>
      </c>
    </row>
    <row r="88" spans="7:22">
      <c r="G88" s="2684"/>
      <c r="N88" s="2688"/>
      <c r="O88" s="2689"/>
      <c r="P88" s="2689"/>
      <c r="Q88" s="2689"/>
      <c r="S88" s="2767">
        <v>2005</v>
      </c>
      <c r="T88" s="2766">
        <v>13.9</v>
      </c>
      <c r="U88" s="2766">
        <v>7.49</v>
      </c>
      <c r="V88" s="2766">
        <v>24.92</v>
      </c>
    </row>
    <row r="89" spans="7:22">
      <c r="G89" s="2684"/>
      <c r="N89" s="2688"/>
      <c r="O89" s="2689"/>
      <c r="P89" s="2689"/>
      <c r="Q89" s="2689"/>
      <c r="S89" s="2764">
        <v>2004</v>
      </c>
      <c r="T89" s="2765">
        <v>9.48</v>
      </c>
      <c r="U89" s="2765">
        <v>7.2</v>
      </c>
      <c r="V89" s="2765">
        <v>14.68</v>
      </c>
    </row>
    <row r="90" spans="7:22">
      <c r="G90" s="2684"/>
      <c r="N90" s="2688"/>
      <c r="O90" s="2689"/>
      <c r="P90" s="2689"/>
      <c r="Q90" s="2689"/>
      <c r="S90" s="2767">
        <v>2003</v>
      </c>
      <c r="T90" s="2766">
        <v>4.5</v>
      </c>
      <c r="U90" s="2766">
        <v>6.12</v>
      </c>
      <c r="V90" s="2766">
        <v>2.34</v>
      </c>
    </row>
    <row r="91" spans="7:22" ht="13.5" thickBot="1">
      <c r="G91" s="2684"/>
      <c r="N91" s="2688"/>
      <c r="O91" s="2689"/>
      <c r="P91" s="2689"/>
      <c r="Q91" s="2689"/>
      <c r="S91" s="2768">
        <v>2002</v>
      </c>
      <c r="T91" s="2769">
        <v>3.59</v>
      </c>
      <c r="U91" s="2769">
        <v>4.54</v>
      </c>
      <c r="V91" s="2769">
        <v>2.5499999999999998</v>
      </c>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row>
    <row r="101" spans="7:19">
      <c r="G101" s="2684"/>
      <c r="N101" s="2688"/>
      <c r="O101" s="2689"/>
      <c r="P101" s="2689"/>
      <c r="Q101" s="2689"/>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row r="106" spans="7:19">
      <c r="G106" s="2684"/>
      <c r="N106" s="2688"/>
      <c r="O106" s="2689"/>
      <c r="P106" s="2689"/>
      <c r="Q106" s="2689"/>
      <c r="S106" s="2684"/>
    </row>
    <row r="107" spans="7:19">
      <c r="G107" s="2684"/>
      <c r="N107" s="2688"/>
      <c r="O107" s="2689"/>
      <c r="P107" s="2689"/>
      <c r="Q107" s="2689"/>
      <c r="S107" s="2684"/>
    </row>
  </sheetData>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1726</v>
      </c>
      <c r="B1" s="736"/>
      <c r="C1" s="771"/>
      <c r="D1" s="3144" t="s">
        <v>952</v>
      </c>
      <c r="E1" s="2410" t="s">
        <v>2378</v>
      </c>
      <c r="F1" s="2411">
        <f ca="1">J53</f>
        <v>0</v>
      </c>
      <c r="G1" s="772">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1727</v>
      </c>
      <c r="B2" s="773" t="e">
        <f ca="1">C40+J29+L46</f>
        <v>#DIV/0!</v>
      </c>
      <c r="C2" s="2056"/>
      <c r="D2" s="2054"/>
      <c r="E2" s="2055"/>
      <c r="F2" s="2055"/>
      <c r="G2" s="1588"/>
      <c r="H2" s="2056"/>
      <c r="I2" s="2056"/>
      <c r="J2" s="2056"/>
      <c r="K2" s="2057"/>
      <c r="L2" s="2056"/>
      <c r="M2" s="2056"/>
    </row>
    <row r="3" spans="1:33" ht="18" customHeight="1" thickBot="1">
      <c r="A3" s="831" t="s">
        <v>1728</v>
      </c>
      <c r="B3" s="832">
        <f ca="1">IF(ISERROR(B2*10000/F43),0,ROUND(B2*10000/F43,0))</f>
        <v>0</v>
      </c>
      <c r="C3" s="2056"/>
      <c r="D3" s="2054"/>
      <c r="E3" s="2055"/>
      <c r="F3" s="2055"/>
      <c r="G3" s="1588"/>
      <c r="H3" s="774" t="s">
        <v>695</v>
      </c>
      <c r="I3" s="1360"/>
      <c r="J3" s="1360"/>
      <c r="K3" s="1589"/>
      <c r="L3" s="1360"/>
      <c r="M3" s="1360"/>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2462</v>
      </c>
      <c r="C5" s="53">
        <f ca="1">C6+C10+C12</f>
        <v>0</v>
      </c>
      <c r="D5" s="2517" t="s">
        <v>2465</v>
      </c>
      <c r="E5" s="2511"/>
      <c r="F5" s="2512"/>
      <c r="G5" s="1590"/>
      <c r="H5" s="779">
        <v>1</v>
      </c>
      <c r="I5" s="780" t="s">
        <v>2462</v>
      </c>
      <c r="J5" s="53">
        <f ca="1">J6+J10+J12</f>
        <v>0</v>
      </c>
      <c r="K5" s="2517" t="s">
        <v>2465</v>
      </c>
      <c r="L5" s="2511"/>
      <c r="M5" s="2512"/>
    </row>
    <row r="6" spans="1:33" ht="18" customHeight="1">
      <c r="A6" s="1829" t="s">
        <v>1825</v>
      </c>
      <c r="B6" s="3687" t="s">
        <v>2467</v>
      </c>
      <c r="C6" s="781">
        <f ca="1">ROUND(F6*F8*F7*(1-F9)/10000,0)</f>
        <v>0</v>
      </c>
      <c r="D6" s="2518" t="s">
        <v>2466</v>
      </c>
      <c r="E6" s="782" t="s">
        <v>1739</v>
      </c>
      <c r="F6" s="783">
        <f ca="1">INDIRECT("'数据-取费表'!u"&amp;$G$1)</f>
        <v>0</v>
      </c>
      <c r="G6" s="1590"/>
      <c r="H6" s="2525" t="s">
        <v>2472</v>
      </c>
      <c r="I6" s="3687" t="s">
        <v>2467</v>
      </c>
      <c r="J6" s="781">
        <f ca="1">ROUND(M6*M8*M7*(1-M9)/10000,0)</f>
        <v>0</v>
      </c>
      <c r="K6" s="339" t="s">
        <v>1738</v>
      </c>
      <c r="L6" s="782" t="s">
        <v>1739</v>
      </c>
      <c r="M6" s="783">
        <f ca="1">INDIRECT("'数据-取费表'!z"&amp;$G$1)</f>
        <v>0</v>
      </c>
    </row>
    <row r="7" spans="1:33" ht="18" customHeight="1">
      <c r="A7" s="2521"/>
      <c r="B7" s="3688"/>
      <c r="C7" s="786"/>
      <c r="D7" s="787"/>
      <c r="E7" s="782" t="s">
        <v>1740</v>
      </c>
      <c r="F7" s="783">
        <f ca="1">IF(INDIRECT("'数据-取费表'!ah"&amp;$G$1)="",INDIRECT("'数据-取费表'!k"&amp;$G$1),INDIRECT("'数据-取费表'!ah"&amp;$G$1))</f>
        <v>0</v>
      </c>
      <c r="G7" s="1590"/>
      <c r="H7" s="2510"/>
      <c r="I7" s="3688"/>
      <c r="J7" s="786"/>
      <c r="K7" s="787"/>
      <c r="L7" s="782" t="s">
        <v>1740</v>
      </c>
      <c r="M7" s="783">
        <f ca="1">F7</f>
        <v>0</v>
      </c>
    </row>
    <row r="8" spans="1:33" ht="18" customHeight="1">
      <c r="A8" s="2514"/>
      <c r="B8" s="3689"/>
      <c r="C8" s="786"/>
      <c r="D8" s="787"/>
      <c r="E8" s="782" t="s">
        <v>1741</v>
      </c>
      <c r="F8" s="783">
        <f ca="1">INDIRECT("'数据-取费表'!ai"&amp;$G$1)</f>
        <v>0</v>
      </c>
      <c r="G8" s="1590"/>
      <c r="H8" s="2510"/>
      <c r="I8" s="3689"/>
      <c r="J8" s="786"/>
      <c r="K8" s="787"/>
      <c r="L8" s="782" t="s">
        <v>1741</v>
      </c>
      <c r="M8" s="783">
        <f ca="1">INDIRECT("'数据-取费表'!ai"&amp;$G$1)</f>
        <v>0</v>
      </c>
    </row>
    <row r="9" spans="1:33" ht="18" customHeight="1">
      <c r="A9" s="784"/>
      <c r="B9" s="3690"/>
      <c r="C9" s="786"/>
      <c r="D9" s="787"/>
      <c r="E9" s="782" t="s">
        <v>1742</v>
      </c>
      <c r="F9" s="792">
        <f ca="1">INDIRECT("'数据-取费表'!w"&amp;$G$1)</f>
        <v>0</v>
      </c>
      <c r="G9" s="1590"/>
      <c r="H9" s="2526"/>
      <c r="I9" s="3689"/>
      <c r="J9" s="786"/>
      <c r="K9" s="787"/>
      <c r="L9" s="793" t="s">
        <v>1742</v>
      </c>
      <c r="M9" s="794">
        <f ca="1">INDIRECT("'数据-取费表'!ab"&amp;$G$1)</f>
        <v>0</v>
      </c>
    </row>
    <row r="10" spans="1:33" ht="18" customHeight="1">
      <c r="A10" s="1829" t="s">
        <v>2470</v>
      </c>
      <c r="B10" s="2515" t="s">
        <v>2463</v>
      </c>
      <c r="C10" s="797">
        <f ca="1">ROUND(IF(F10="押一",C6/12*F11,IF(F10="押二",C6/12*2*F11,IF(F10="押三",C6/12*3*F11,C11*F11))),0)</f>
        <v>0</v>
      </c>
      <c r="D10" s="2522" t="s">
        <v>2975</v>
      </c>
      <c r="E10" s="2519" t="s">
        <v>2468</v>
      </c>
      <c r="F10" s="2642"/>
      <c r="G10" s="1590"/>
      <c r="H10" s="2582" t="s">
        <v>2473</v>
      </c>
      <c r="I10" s="2587" t="s">
        <v>2463</v>
      </c>
      <c r="J10" s="781">
        <f ca="1">ROUND(IF(M10="押一",J6/12*M11,IF(M10="押二",J6/12*2*M11,IF(M10="押三",J6/12*3*M11,J11*M11))),0)</f>
        <v>0</v>
      </c>
      <c r="K10" s="2522" t="s">
        <v>2975</v>
      </c>
      <c r="L10" s="2519" t="s">
        <v>2468</v>
      </c>
      <c r="M10" s="2642"/>
    </row>
    <row r="11" spans="1:33" ht="18" customHeight="1">
      <c r="A11" s="788"/>
      <c r="B11" s="2516" t="s">
        <v>2577</v>
      </c>
      <c r="C11" s="2520"/>
      <c r="D11" s="787"/>
      <c r="E11" s="2519" t="s">
        <v>2469</v>
      </c>
      <c r="F11" s="794">
        <f ca="1">'数据-取费表'!B39</f>
        <v>1.4999999999999999E-2</v>
      </c>
      <c r="G11" s="1590"/>
      <c r="H11" s="2583"/>
      <c r="I11" s="2516" t="s">
        <v>2577</v>
      </c>
      <c r="J11" s="2520"/>
      <c r="K11" s="2584"/>
      <c r="L11" s="2519" t="s">
        <v>2469</v>
      </c>
      <c r="M11" s="2513">
        <f ca="1">'数据-取费表'!B39</f>
        <v>1.4999999999999999E-2</v>
      </c>
    </row>
    <row r="12" spans="1:33" ht="18" customHeight="1" thickBot="1">
      <c r="A12" s="2558" t="s">
        <v>2471</v>
      </c>
      <c r="B12" s="2559" t="s">
        <v>2464</v>
      </c>
      <c r="C12" s="2560"/>
      <c r="D12" s="2561"/>
      <c r="E12" s="2562"/>
      <c r="F12" s="2563"/>
      <c r="G12" s="1590"/>
      <c r="H12" s="2572" t="s">
        <v>2474</v>
      </c>
      <c r="I12" s="2585" t="s">
        <v>2464</v>
      </c>
      <c r="J12" s="2586"/>
      <c r="K12" s="2561"/>
      <c r="L12" s="2562"/>
      <c r="M12" s="2575"/>
    </row>
    <row r="13" spans="1:33" ht="18" customHeight="1" thickTop="1">
      <c r="A13" s="1828">
        <v>2</v>
      </c>
      <c r="B13" s="1826" t="s">
        <v>1743</v>
      </c>
      <c r="C13" s="790">
        <f ca="1">ROUND(C29*F13,0)</f>
        <v>0</v>
      </c>
      <c r="D13" s="1833" t="s">
        <v>2300</v>
      </c>
      <c r="E13" s="1833" t="s">
        <v>1745</v>
      </c>
      <c r="F13" s="2557">
        <f ca="1">INDIRECT("'数据-取费表'!y"&amp;$G$1)</f>
        <v>0</v>
      </c>
      <c r="G13" s="1590"/>
      <c r="H13" s="1828">
        <v>2</v>
      </c>
      <c r="I13" s="1826" t="s">
        <v>1743</v>
      </c>
      <c r="J13" s="1818">
        <f ca="1">ROUND(J14*J15,0)</f>
        <v>0</v>
      </c>
      <c r="K13" s="1820" t="s">
        <v>1744</v>
      </c>
      <c r="L13" s="2573"/>
      <c r="M13" s="2574"/>
    </row>
    <row r="14" spans="1:33" ht="18" customHeight="1">
      <c r="A14" s="1646" t="s">
        <v>1885</v>
      </c>
      <c r="B14" s="782" t="s">
        <v>645</v>
      </c>
      <c r="C14" s="802">
        <f ca="1">INDIRECT("'数据-取费表'!m"&amp;$G$1)+INDIRECT("'数据-取费表'!t"&amp;$G$1)</f>
        <v>0</v>
      </c>
      <c r="D14" s="1978" t="s">
        <v>1746</v>
      </c>
      <c r="E14" s="1979"/>
      <c r="F14" s="803"/>
      <c r="G14" s="1590"/>
      <c r="H14" s="1647" t="s">
        <v>1831</v>
      </c>
      <c r="I14" s="2230" t="s">
        <v>2829</v>
      </c>
      <c r="J14" s="51">
        <f ca="1">C29</f>
        <v>0</v>
      </c>
      <c r="K14" s="24"/>
      <c r="L14" s="799"/>
      <c r="M14" s="800"/>
    </row>
    <row r="15" spans="1:33" s="2063" customFormat="1" ht="18" customHeight="1" thickBot="1">
      <c r="A15" s="1646" t="s">
        <v>1886</v>
      </c>
      <c r="B15" s="782" t="s">
        <v>647</v>
      </c>
      <c r="C15" s="51">
        <f ca="1">ROUND(C14*F15,0)</f>
        <v>0</v>
      </c>
      <c r="D15" s="804" t="s">
        <v>1747</v>
      </c>
      <c r="E15" s="804" t="s">
        <v>1748</v>
      </c>
      <c r="F15" s="805">
        <f>'数据-取费表'!B33</f>
        <v>0.03</v>
      </c>
      <c r="G15" s="1591"/>
      <c r="H15" s="2572" t="s">
        <v>1890</v>
      </c>
      <c r="I15" s="2567" t="s">
        <v>1745</v>
      </c>
      <c r="J15" s="2576">
        <f ca="1">INDIRECT("'数据-取费表'!ad"&amp;$G$1)</f>
        <v>0</v>
      </c>
      <c r="K15" s="2577"/>
      <c r="L15" s="2578"/>
      <c r="M15" s="2579"/>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2" t="s">
        <v>650</v>
      </c>
      <c r="C16" s="51">
        <f ca="1">ROUND(INDIRECT("'数据-取费表'!m"&amp;$G$1)*F16,0)</f>
        <v>0</v>
      </c>
      <c r="D16" s="782" t="s">
        <v>1747</v>
      </c>
      <c r="E16" s="782" t="s">
        <v>1748</v>
      </c>
      <c r="F16" s="807">
        <f ca="1">IF(INDIRECT("'数据-取费表'!c"&amp;$G$1)="住宅",'数据-取费表'!B34,0)</f>
        <v>0</v>
      </c>
      <c r="G16" s="1590"/>
      <c r="H16" s="1828" t="s">
        <v>1749</v>
      </c>
      <c r="I16" s="1826" t="s">
        <v>1750</v>
      </c>
      <c r="J16" s="790">
        <f ca="1">ROUND(J17+J22+J23+J24,0)</f>
        <v>0</v>
      </c>
      <c r="K16" s="1820" t="s">
        <v>1751</v>
      </c>
      <c r="L16" s="2507"/>
      <c r="M16" s="2512"/>
    </row>
    <row r="17" spans="1:33" s="2063" customFormat="1" ht="18" customHeight="1">
      <c r="A17" s="1646" t="s">
        <v>1888</v>
      </c>
      <c r="B17" s="782" t="s">
        <v>653</v>
      </c>
      <c r="C17" s="51">
        <f ca="1">ROUND(F17*(F43+INDIRECT("'数据-取费表'!S"&amp;$G$1))/10000,0)</f>
        <v>0</v>
      </c>
      <c r="D17" s="782" t="s">
        <v>1752</v>
      </c>
      <c r="E17" s="782" t="s">
        <v>1753</v>
      </c>
      <c r="F17" s="54">
        <f>'数据-取费表'!B35</f>
        <v>200</v>
      </c>
      <c r="G17" s="1591"/>
      <c r="H17" s="1647" t="s">
        <v>1831</v>
      </c>
      <c r="I17" s="782" t="s">
        <v>656</v>
      </c>
      <c r="J17" s="51">
        <f ca="1">ROUND(IF(项目基本情况!B11="自然人",J5*M17,J18+J19+J20),0)</f>
        <v>0</v>
      </c>
      <c r="K17" s="2506" t="s">
        <v>1754</v>
      </c>
      <c r="L17" s="2505" t="s">
        <v>1755</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2" t="s">
        <v>659</v>
      </c>
      <c r="C18" s="51">
        <f ca="1">ROUND(C14*F18,0)</f>
        <v>0</v>
      </c>
      <c r="D18" s="782" t="s">
        <v>1747</v>
      </c>
      <c r="E18" s="782" t="s">
        <v>1748</v>
      </c>
      <c r="F18" s="807">
        <f>'数据-取费表'!B36</f>
        <v>1.4999999999999999E-2</v>
      </c>
      <c r="G18" s="1591"/>
      <c r="H18" s="1646" t="s">
        <v>1885</v>
      </c>
      <c r="I18" s="782" t="s">
        <v>1756</v>
      </c>
      <c r="J18" s="51">
        <f ca="1">ROUND(J5*M18/1.05,1)</f>
        <v>0</v>
      </c>
      <c r="K18" s="2505" t="s">
        <v>1757</v>
      </c>
      <c r="L18" s="782" t="s">
        <v>1748</v>
      </c>
      <c r="M18" s="807">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2" t="s">
        <v>662</v>
      </c>
      <c r="C19" s="51">
        <f ca="1">SUM(C14:C18)</f>
        <v>0</v>
      </c>
      <c r="D19" s="259" t="s">
        <v>1758</v>
      </c>
      <c r="E19" s="1981"/>
      <c r="F19" s="54"/>
      <c r="G19" s="1590"/>
      <c r="H19" s="1646" t="s">
        <v>1886</v>
      </c>
      <c r="I19" s="782" t="s">
        <v>1759</v>
      </c>
      <c r="J19" s="51">
        <f ca="1">IF(K19="按租金收入计税",ROUND(J5*M19,1),ROUND(C29*F33*0.7,1))</f>
        <v>0</v>
      </c>
      <c r="K19" s="809" t="s">
        <v>665</v>
      </c>
      <c r="L19" s="782" t="s">
        <v>1748</v>
      </c>
      <c r="M19" s="807">
        <f>IF(K19="按租金收入计税",'数据-取费表'!B51,'数据-取费表'!B50)</f>
        <v>1.2E-2</v>
      </c>
    </row>
    <row r="20" spans="1:33" s="2063" customFormat="1" ht="18" customHeight="1">
      <c r="A20" s="1647" t="s">
        <v>1890</v>
      </c>
      <c r="B20" s="782" t="s">
        <v>666</v>
      </c>
      <c r="C20" s="51">
        <f ca="1">ROUND(C19*F20,0)</f>
        <v>0</v>
      </c>
      <c r="D20" s="810" t="s">
        <v>1760</v>
      </c>
      <c r="E20" s="782" t="s">
        <v>1748</v>
      </c>
      <c r="F20" s="807">
        <f>'数据-取费表'!B37</f>
        <v>0.02</v>
      </c>
      <c r="G20" s="1591"/>
      <c r="H20" s="1649" t="s">
        <v>1881</v>
      </c>
      <c r="I20" s="339" t="s">
        <v>1761</v>
      </c>
      <c r="J20" s="52">
        <f ca="1">ROUND(M20*M21/10000,0)</f>
        <v>0</v>
      </c>
      <c r="K20" s="812" t="s">
        <v>1762</v>
      </c>
      <c r="L20" s="782" t="s">
        <v>1763</v>
      </c>
      <c r="M20" s="638">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2" t="s">
        <v>1764</v>
      </c>
      <c r="C21" s="51" t="s">
        <v>1765</v>
      </c>
      <c r="D21" s="810" t="s">
        <v>2301</v>
      </c>
      <c r="E21" s="782" t="s">
        <v>1766</v>
      </c>
      <c r="F21" s="807">
        <f>'数据-取费表'!B38</f>
        <v>0.02</v>
      </c>
      <c r="G21" s="1591"/>
      <c r="H21" s="2527"/>
      <c r="I21" s="791"/>
      <c r="J21" s="67"/>
      <c r="K21" s="814"/>
      <c r="L21" s="782" t="s">
        <v>1767</v>
      </c>
      <c r="M21" s="783">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2" t="s">
        <v>1768</v>
      </c>
      <c r="C22" s="51"/>
      <c r="D22" s="2593" t="str">
        <f>IF(F23&lt;=1,"单利计息。","复利计息。")&amp;"建造成本、管理费用、销售费用产生的利息。"</f>
        <v>复利计息。建造成本、管理费用、销售费用产生的利息。</v>
      </c>
      <c r="E22" s="1981"/>
      <c r="F22" s="54"/>
      <c r="G22" s="1590"/>
      <c r="H22" s="1647" t="s">
        <v>1890</v>
      </c>
      <c r="I22" s="782" t="s">
        <v>1769</v>
      </c>
      <c r="J22" s="51">
        <f ca="1">ROUND(J14*M22,0)</f>
        <v>0</v>
      </c>
      <c r="K22" s="2505" t="s">
        <v>1770</v>
      </c>
      <c r="L22" s="782" t="s">
        <v>1748</v>
      </c>
      <c r="M22" s="815">
        <f ca="1">INDIRECT("'数据-取费表'!Ak"&amp;$G$1)</f>
        <v>0</v>
      </c>
    </row>
    <row r="23" spans="1:33" s="2063" customFormat="1" ht="18" customHeight="1">
      <c r="A23" s="1646" t="s">
        <v>1832</v>
      </c>
      <c r="B23" s="782" t="s">
        <v>2539</v>
      </c>
      <c r="C23" s="51">
        <f ca="1">ROUND(IF('数据-取费表'!B22&lt;=1,(C19+C20)*F24*F23/2,(C19+C20)*(POWER((1+F24),F23/2)-1)),0)</f>
        <v>0</v>
      </c>
      <c r="D23" s="2592" t="str">
        <f>IF(F23&lt;=1,"(建造成本+管理费用)×利率×(建设周期÷2)","(建造成本+管理费用)×((1+利率)^(建设周期÷2)-1)")</f>
        <v>(建造成本+管理费用)×((1+利率)^(建设周期÷2)-1)</v>
      </c>
      <c r="E23" s="782" t="s">
        <v>1771</v>
      </c>
      <c r="F23" s="638">
        <f>'数据-取费表'!B20</f>
        <v>1.5</v>
      </c>
      <c r="G23" s="1591"/>
      <c r="H23" s="1647" t="s">
        <v>1891</v>
      </c>
      <c r="I23" s="782" t="s">
        <v>679</v>
      </c>
      <c r="J23" s="51">
        <f ca="1">ROUND(J13*M23,0)</f>
        <v>0</v>
      </c>
      <c r="K23" s="2505" t="s">
        <v>1772</v>
      </c>
      <c r="L23" s="782" t="s">
        <v>1748</v>
      </c>
      <c r="M23" s="816">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2" t="s">
        <v>1773</v>
      </c>
      <c r="C24" s="51">
        <f ca="1">ROUND(IF('数据-取费表'!B22&lt;=1,F21*F24*F23/2,F21*(POWER((1+F24),F23/2)-1)),4)</f>
        <v>6.9999999999999999E-4</v>
      </c>
      <c r="D24" s="2592" t="str">
        <f>IF(F23&lt;=1,"销售费用×利率×(建设周期÷2)","销售费用×((1+利率)^(建设周期÷2)-1)")</f>
        <v>销售费用×((1+利率)^(建设周期÷2)-1)</v>
      </c>
      <c r="E24" s="782" t="s">
        <v>1774</v>
      </c>
      <c r="F24" s="817">
        <f ca="1">'数据-取费表'!B40</f>
        <v>4.7500000000000001E-2</v>
      </c>
      <c r="G24" s="1591"/>
      <c r="H24" s="2572" t="s">
        <v>1892</v>
      </c>
      <c r="I24" s="2567" t="s">
        <v>666</v>
      </c>
      <c r="J24" s="2565">
        <f ca="1">ROUND(J5*M24,0)</f>
        <v>0</v>
      </c>
      <c r="K24" s="2566" t="s">
        <v>1775</v>
      </c>
      <c r="L24" s="2567" t="s">
        <v>1748</v>
      </c>
      <c r="M24" s="2563">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2" t="s">
        <v>684</v>
      </c>
      <c r="C25" s="51"/>
      <c r="D25" s="259" t="s">
        <v>1776</v>
      </c>
      <c r="E25" s="1981"/>
      <c r="F25" s="54"/>
      <c r="G25" s="1590"/>
      <c r="H25" s="1828" t="s">
        <v>1777</v>
      </c>
      <c r="I25" s="3029" t="s">
        <v>2825</v>
      </c>
      <c r="J25" s="790">
        <f ca="1">J5-J16</f>
        <v>0</v>
      </c>
      <c r="K25" s="2569" t="s">
        <v>1778</v>
      </c>
      <c r="L25" s="2570"/>
      <c r="M25" s="2571"/>
    </row>
    <row r="26" spans="1:33" ht="18" customHeight="1">
      <c r="A26" s="1646" t="s">
        <v>1832</v>
      </c>
      <c r="B26" s="782" t="s">
        <v>2442</v>
      </c>
      <c r="C26" s="51">
        <f ca="1">ROUND((C19+C20)*F26,0)</f>
        <v>0</v>
      </c>
      <c r="D26" s="810" t="s">
        <v>1779</v>
      </c>
      <c r="E26" s="793" t="s">
        <v>1780</v>
      </c>
      <c r="F26" s="792">
        <f ca="1">INDIRECT("'数据-取费表'!q"&amp;$G$1)</f>
        <v>0</v>
      </c>
      <c r="G26" s="1590"/>
      <c r="H26" s="2523" t="s">
        <v>1781</v>
      </c>
      <c r="I26" s="2231" t="s">
        <v>2830</v>
      </c>
      <c r="J26" s="781">
        <f ca="1">IF(J5&lt;&gt;0,ROUND(J25*(1-((1+M28)/(1+M26))^M27)/(M26-M28),0),0)</f>
        <v>0</v>
      </c>
      <c r="K26" s="812" t="s">
        <v>1782</v>
      </c>
      <c r="L26" s="782" t="s">
        <v>2423</v>
      </c>
      <c r="M26" s="792">
        <f ca="1">INDIRECT("'数据-取费表'!I"&amp;$G$1)</f>
        <v>0</v>
      </c>
    </row>
    <row r="27" spans="1:33" ht="18" customHeight="1">
      <c r="A27" s="1646" t="s">
        <v>1833</v>
      </c>
      <c r="B27" s="782" t="s">
        <v>686</v>
      </c>
      <c r="C27" s="51">
        <f ca="1">ROUND(F21*F26,4)</f>
        <v>0</v>
      </c>
      <c r="D27" s="810" t="s">
        <v>1783</v>
      </c>
      <c r="E27" s="804"/>
      <c r="F27" s="805"/>
      <c r="G27" s="1590"/>
      <c r="H27" s="2524"/>
      <c r="I27" s="785"/>
      <c r="J27" s="786"/>
      <c r="K27" s="819" t="s">
        <v>1784</v>
      </c>
      <c r="L27" s="782" t="s">
        <v>1785</v>
      </c>
      <c r="M27" s="820">
        <f ca="1">INDIRECT("'数据-取费表'!ag"&amp;$G$1)</f>
        <v>0</v>
      </c>
    </row>
    <row r="28" spans="1:33" s="2063" customFormat="1" ht="18" customHeight="1">
      <c r="A28" s="1648" t="s">
        <v>1842</v>
      </c>
      <c r="B28" s="782" t="s">
        <v>687</v>
      </c>
      <c r="C28" s="51">
        <f>ROUND(F28/(1+'数据-取费表'!C42),4)</f>
        <v>5.33E-2</v>
      </c>
      <c r="D28" s="810" t="s">
        <v>2302</v>
      </c>
      <c r="E28" s="782" t="s">
        <v>1786</v>
      </c>
      <c r="F28" s="807">
        <f>'数据-取费表'!B41</f>
        <v>5.6000000000000001E-2</v>
      </c>
      <c r="G28" s="1591"/>
      <c r="H28" s="1828"/>
      <c r="I28" s="789"/>
      <c r="J28" s="790"/>
      <c r="K28" s="814"/>
      <c r="L28" s="782" t="s">
        <v>1787</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1893</v>
      </c>
      <c r="B29" s="2562" t="s">
        <v>2303</v>
      </c>
      <c r="C29" s="2565">
        <f ca="1">ROUND((C19+C20+C23+C26)/(1-F21-C24-C27-C28),0)</f>
        <v>0</v>
      </c>
      <c r="D29" s="2566"/>
      <c r="E29" s="2567"/>
      <c r="F29" s="2568"/>
      <c r="G29" s="1591"/>
      <c r="H29" s="821" t="s">
        <v>1788</v>
      </c>
      <c r="I29" s="822" t="s">
        <v>1789</v>
      </c>
      <c r="J29" s="823">
        <f ca="1">ROUND(J26/(1+F40)^F41,0)</f>
        <v>0</v>
      </c>
      <c r="K29" s="824" t="s">
        <v>1790</v>
      </c>
      <c r="L29" s="825"/>
      <c r="M29" s="826">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0">
        <f ca="1">ROUND(C31+C36+C37+C38,0)</f>
        <v>0</v>
      </c>
      <c r="D30" s="1820" t="s">
        <v>1792</v>
      </c>
      <c r="E30" s="2507"/>
      <c r="F30" s="2512"/>
      <c r="G30" s="2061"/>
      <c r="H30" s="2064"/>
      <c r="I30" s="2065"/>
      <c r="J30" s="2066"/>
      <c r="K30" s="2067"/>
      <c r="L30" s="2068"/>
      <c r="M30" s="2069"/>
    </row>
    <row r="31" spans="1:33" ht="18" customHeight="1">
      <c r="A31" s="1647" t="s">
        <v>1831</v>
      </c>
      <c r="B31" s="782" t="s">
        <v>656</v>
      </c>
      <c r="C31" s="51">
        <f ca="1">ROUND(IF(项目基本情况!B11="自然人",C5*F31,C32+C33+C34),1)</f>
        <v>0</v>
      </c>
      <c r="D31" s="1978" t="s">
        <v>1793</v>
      </c>
      <c r="E31" s="1976" t="s">
        <v>1794</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2" t="s">
        <v>1795</v>
      </c>
      <c r="C32" s="51">
        <f ca="1">ROUND(C5*F32/1.05,1)</f>
        <v>0</v>
      </c>
      <c r="D32" s="1976" t="s">
        <v>1796</v>
      </c>
      <c r="E32" s="782" t="s">
        <v>1797</v>
      </c>
      <c r="F32" s="807">
        <f>'数据-取费表'!B41</f>
        <v>5.6000000000000001E-2</v>
      </c>
      <c r="G32" s="2061"/>
      <c r="H32" s="2070"/>
      <c r="I32" s="2071"/>
      <c r="J32" s="2072"/>
      <c r="K32" s="2073"/>
      <c r="L32" s="2074"/>
      <c r="M32" s="2075"/>
    </row>
    <row r="33" spans="1:18" ht="18" customHeight="1">
      <c r="A33" s="1646"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1"/>
      <c r="H33" s="2076"/>
      <c r="I33" s="2076"/>
      <c r="J33" s="2076"/>
      <c r="K33" s="2077"/>
      <c r="L33" s="2076"/>
      <c r="M33" s="2076"/>
    </row>
    <row r="34" spans="1:18" ht="18" customHeight="1">
      <c r="A34" s="1649" t="s">
        <v>1834</v>
      </c>
      <c r="B34" s="339" t="s">
        <v>1799</v>
      </c>
      <c r="C34" s="52">
        <f ca="1">ROUND(F34*F35/10000,1)</f>
        <v>0</v>
      </c>
      <c r="D34" s="812" t="s">
        <v>1800</v>
      </c>
      <c r="E34" s="782" t="s">
        <v>1801</v>
      </c>
      <c r="F34" s="638">
        <f>'数据-取费表'!B52</f>
        <v>0</v>
      </c>
      <c r="G34" s="2061"/>
      <c r="H34" s="2064"/>
      <c r="I34" s="833" t="s">
        <v>1814</v>
      </c>
      <c r="J34" s="834"/>
      <c r="K34" s="2079"/>
      <c r="L34" s="2078"/>
      <c r="M34" s="2078"/>
    </row>
    <row r="35" spans="1:18" ht="18" customHeight="1">
      <c r="A35" s="813"/>
      <c r="B35" s="791"/>
      <c r="C35" s="67"/>
      <c r="D35" s="814"/>
      <c r="E35" s="782" t="s">
        <v>1802</v>
      </c>
      <c r="F35" s="783">
        <f ca="1">INDIRECT("'数据-取费表'!r"&amp;$G$1)</f>
        <v>0</v>
      </c>
      <c r="G35" s="2061"/>
      <c r="H35" s="2064"/>
      <c r="I35" s="835" t="s">
        <v>1815</v>
      </c>
      <c r="J35" s="836">
        <f ca="1">ROUND(C13*J36,0)</f>
        <v>0</v>
      </c>
      <c r="K35" s="2077"/>
      <c r="L35" s="2076"/>
      <c r="M35" s="2076"/>
    </row>
    <row r="36" spans="1:18" ht="18" customHeight="1">
      <c r="A36" s="1647" t="s">
        <v>1890</v>
      </c>
      <c r="B36" s="782" t="s">
        <v>1803</v>
      </c>
      <c r="C36" s="51">
        <f ca="1">ROUND(C29*F36,1)</f>
        <v>0</v>
      </c>
      <c r="D36" s="1976" t="s">
        <v>1804</v>
      </c>
      <c r="E36" s="782" t="s">
        <v>1797</v>
      </c>
      <c r="F36" s="815">
        <f ca="1">INDIRECT("'数据-取费表'!Ak"&amp;$G$1)</f>
        <v>0</v>
      </c>
      <c r="G36" s="2061"/>
      <c r="H36" s="2076"/>
      <c r="I36" s="837" t="s">
        <v>1816</v>
      </c>
      <c r="J36" s="838">
        <f ca="1">INDIRECT("'数据-取费表'!j"&amp;$G$1)</f>
        <v>0</v>
      </c>
      <c r="K36" s="2081"/>
      <c r="L36" s="2076"/>
      <c r="M36" s="2076"/>
    </row>
    <row r="37" spans="1:18" ht="18" customHeight="1">
      <c r="A37" s="1647" t="s">
        <v>1891</v>
      </c>
      <c r="B37" s="782" t="s">
        <v>679</v>
      </c>
      <c r="C37" s="51">
        <f ca="1">ROUND(C13*F37,1)</f>
        <v>0</v>
      </c>
      <c r="D37" s="1976" t="s">
        <v>1805</v>
      </c>
      <c r="E37" s="782" t="s">
        <v>1797</v>
      </c>
      <c r="F37" s="816">
        <f ca="1">INDIRECT("'数据-取费表'!Al"&amp;$G$1)</f>
        <v>0</v>
      </c>
      <c r="G37" s="2061"/>
      <c r="H37" s="2076"/>
      <c r="I37" s="839" t="s">
        <v>1817</v>
      </c>
      <c r="J37" s="840"/>
      <c r="K37" s="2081"/>
      <c r="L37" s="2076"/>
      <c r="M37" s="2076"/>
    </row>
    <row r="38" spans="1:18" ht="18" customHeight="1" thickBot="1">
      <c r="A38" s="2572" t="s">
        <v>1892</v>
      </c>
      <c r="B38" s="2567" t="s">
        <v>666</v>
      </c>
      <c r="C38" s="2565">
        <f ca="1">ROUND(C5*F38,1)</f>
        <v>0</v>
      </c>
      <c r="D38" s="2566" t="s">
        <v>1806</v>
      </c>
      <c r="E38" s="2567" t="s">
        <v>1797</v>
      </c>
      <c r="F38" s="2563">
        <f ca="1">INDIRECT("'数据-取费表'!Am"&amp;$G$1)</f>
        <v>0</v>
      </c>
      <c r="G38" s="2061"/>
      <c r="H38" s="2076"/>
      <c r="I38" s="841" t="s">
        <v>1818</v>
      </c>
      <c r="J38" s="842"/>
      <c r="K38" s="2082"/>
      <c r="L38" s="2076"/>
      <c r="M38" s="2076"/>
    </row>
    <row r="39" spans="1:18" ht="24.6" customHeight="1" thickTop="1">
      <c r="A39" s="1828" t="s">
        <v>1895</v>
      </c>
      <c r="B39" s="3029" t="s">
        <v>2825</v>
      </c>
      <c r="C39" s="790">
        <f ca="1">C5-C30</f>
        <v>0</v>
      </c>
      <c r="D39" s="2569" t="s">
        <v>1807</v>
      </c>
      <c r="E39" s="2570"/>
      <c r="F39" s="2571"/>
      <c r="G39" s="2061"/>
      <c r="H39" s="2076"/>
      <c r="I39" s="835" t="s">
        <v>1819</v>
      </c>
      <c r="J39" s="843" t="e">
        <f ca="1">ROUND(J35/C39,3)</f>
        <v>#DIV/0!</v>
      </c>
      <c r="K39" s="2082"/>
      <c r="L39" s="2076"/>
      <c r="M39" s="2076"/>
    </row>
    <row r="40" spans="1:18" ht="18" customHeight="1">
      <c r="A40" s="779" t="s">
        <v>1896</v>
      </c>
      <c r="B40" s="2231" t="s">
        <v>2304</v>
      </c>
      <c r="C40" s="781" t="e">
        <f ca="1">ROUND(C39*(1-((1+F42)/(1+F40))^F41)/(F40-F42),0)</f>
        <v>#DIV/0!</v>
      </c>
      <c r="D40" s="812" t="s">
        <v>1808</v>
      </c>
      <c r="E40" s="782" t="s">
        <v>2423</v>
      </c>
      <c r="F40" s="792">
        <f ca="1">INDIRECT("'数据-取费表'!I"&amp;$G$1)</f>
        <v>0</v>
      </c>
      <c r="G40" s="2061"/>
      <c r="H40" s="2061"/>
      <c r="I40" s="835" t="s">
        <v>1820</v>
      </c>
      <c r="J40" s="843" t="e">
        <f ca="1">1-J39</f>
        <v>#DIV/0!</v>
      </c>
      <c r="K40" s="2082"/>
      <c r="L40" s="2061"/>
      <c r="M40" s="2061"/>
    </row>
    <row r="41" spans="1:18" ht="18" customHeight="1">
      <c r="A41" s="784"/>
      <c r="B41" s="785"/>
      <c r="C41" s="786"/>
      <c r="D41" s="819" t="s">
        <v>1809</v>
      </c>
      <c r="E41" s="782" t="s">
        <v>2966</v>
      </c>
      <c r="F41" s="820">
        <f ca="1">IF(INDIRECT("'数据-取费表'!af"&amp;$G$1)=0,INDIRECT("'数据-取费表'!ae"&amp;$G$1),INDIRECT("'数据-取费表'!af"&amp;$G$1))</f>
        <v>0</v>
      </c>
      <c r="G41" s="2061"/>
      <c r="H41" s="1987"/>
      <c r="I41" s="841" t="s">
        <v>1821</v>
      </c>
      <c r="J41" s="844"/>
      <c r="K41" s="2081"/>
      <c r="L41" s="1987"/>
      <c r="M41" s="1987"/>
    </row>
    <row r="42" spans="1:18" ht="18" customHeight="1">
      <c r="A42" s="788"/>
      <c r="B42" s="789"/>
      <c r="C42" s="790"/>
      <c r="D42" s="814"/>
      <c r="E42" s="782" t="s">
        <v>1810</v>
      </c>
      <c r="F42" s="792">
        <f ca="1">INDIRECT("'数据-取费表'!v"&amp;$G$1)</f>
        <v>0</v>
      </c>
      <c r="G42" s="2061"/>
      <c r="H42" s="1987"/>
      <c r="I42" s="845" t="s">
        <v>1822</v>
      </c>
      <c r="J42" s="843" t="e">
        <f ca="1">ROUND(C13/C40,3)</f>
        <v>#DIV/0!</v>
      </c>
      <c r="K42" s="2081"/>
      <c r="L42" s="1987"/>
      <c r="M42" s="1987"/>
    </row>
    <row r="43" spans="1:18" ht="18" customHeight="1" thickBot="1">
      <c r="A43" s="821" t="s">
        <v>1788</v>
      </c>
      <c r="B43" s="822" t="s">
        <v>1811</v>
      </c>
      <c r="C43" s="823" t="e">
        <f ca="1">ROUND(C40*10000/F43,0)</f>
        <v>#DIV/0!</v>
      </c>
      <c r="D43" s="824" t="s">
        <v>1812</v>
      </c>
      <c r="E43" s="825" t="s">
        <v>1813</v>
      </c>
      <c r="F43" s="826">
        <f ca="1">INDIRECT("'数据-取费表'!k"&amp;$G$1)</f>
        <v>0</v>
      </c>
      <c r="G43" s="2061"/>
      <c r="H43" s="1987"/>
      <c r="I43" s="845" t="s">
        <v>1823</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5" t="e">
        <f ca="1">C67-C40</f>
        <v>#DIV/0!</v>
      </c>
      <c r="D46" s="2084"/>
      <c r="E46" s="2084"/>
      <c r="F46" s="2084"/>
      <c r="I46" s="2377" t="s">
        <v>2346</v>
      </c>
      <c r="J46" s="2378"/>
      <c r="K46" s="2379"/>
      <c r="L46" s="2380" t="e">
        <f ca="1">IF(OR(M47="住宅",D1="土地（套用方法）"),0,IF(L48&gt;J51,L60,J60))</f>
        <v>#DIV/0!</v>
      </c>
      <c r="O46" s="2417" t="s">
        <v>2414</v>
      </c>
      <c r="P46" s="1590"/>
      <c r="Q46" s="1602"/>
      <c r="R46" s="1590"/>
    </row>
    <row r="47" spans="1:18" s="2058" customFormat="1" ht="18" customHeight="1" thickBot="1">
      <c r="A47" s="2371">
        <v>1</v>
      </c>
      <c r="B47" s="2372" t="s">
        <v>635</v>
      </c>
      <c r="C47" s="2595">
        <f ca="1">C48+C52+C54</f>
        <v>0</v>
      </c>
      <c r="D47" s="2084"/>
      <c r="E47" s="2084"/>
      <c r="F47" s="2084"/>
      <c r="I47" s="2381" t="s">
        <v>2347</v>
      </c>
      <c r="J47" s="2386"/>
      <c r="K47" s="2387" t="s">
        <v>2353</v>
      </c>
      <c r="L47" s="2388">
        <f ca="1">INDIRECT("'数据-取费表'!d"&amp;$G$1)</f>
        <v>50</v>
      </c>
      <c r="M47" s="1602" t="str">
        <f>IF(ISNUMBER(FIND("住宅",C1)),"住宅","非住宅")</f>
        <v>非住宅</v>
      </c>
      <c r="O47" s="2418" t="s">
        <v>2379</v>
      </c>
      <c r="P47" s="2419" t="s">
        <v>2380</v>
      </c>
      <c r="Q47" s="2420" t="s">
        <v>2381</v>
      </c>
      <c r="R47" s="2419" t="s">
        <v>2382</v>
      </c>
    </row>
    <row r="48" spans="1:18" s="2058" customFormat="1" ht="18" customHeight="1" thickBot="1">
      <c r="A48" s="2663" t="s">
        <v>2541</v>
      </c>
      <c r="B48" s="2664" t="s">
        <v>2542</v>
      </c>
      <c r="C48" s="2373">
        <f ca="1">ROUND(F48*F50*F49*(1-F51)/10000,0)</f>
        <v>0</v>
      </c>
      <c r="D48" s="2374" t="s">
        <v>636</v>
      </c>
      <c r="E48" s="2375" t="s">
        <v>2299</v>
      </c>
      <c r="F48" s="2376"/>
      <c r="G48" s="2089"/>
      <c r="I48" s="2382" t="s">
        <v>2348</v>
      </c>
      <c r="J48" s="2389"/>
      <c r="K48" s="2390" t="s">
        <v>2355</v>
      </c>
      <c r="L48" s="2391">
        <f ca="1">INDIRECT("'数据-取费表'!f"&amp;$G$1)</f>
        <v>50</v>
      </c>
      <c r="O48" s="2421" t="s">
        <v>2383</v>
      </c>
      <c r="P48" s="2422" t="s">
        <v>2409</v>
      </c>
      <c r="Q48" s="2423" t="e">
        <f ca="1">C40+J29</f>
        <v>#DIV/0!</v>
      </c>
      <c r="R48" s="2422" t="s">
        <v>2384</v>
      </c>
    </row>
    <row r="49" spans="1:18" s="2058" customFormat="1" ht="18" customHeight="1" thickBot="1">
      <c r="A49" s="784"/>
      <c r="B49" s="785"/>
      <c r="C49" s="786"/>
      <c r="D49" s="787"/>
      <c r="E49" s="782" t="s">
        <v>1740</v>
      </c>
      <c r="F49" s="783">
        <f ca="1">F7</f>
        <v>0</v>
      </c>
      <c r="G49" s="2089"/>
      <c r="H49" s="2092"/>
      <c r="I49" s="2382" t="s">
        <v>2349</v>
      </c>
      <c r="J49" s="2392"/>
      <c r="K49" s="2393" t="s">
        <v>2356</v>
      </c>
      <c r="L49" s="2394"/>
      <c r="O49" s="2421" t="s">
        <v>2385</v>
      </c>
      <c r="P49" s="2422" t="s">
        <v>2410</v>
      </c>
      <c r="Q49" s="2423" t="str">
        <f ca="1">J60</f>
        <v>0</v>
      </c>
      <c r="R49" s="2422" t="s">
        <v>2386</v>
      </c>
    </row>
    <row r="50" spans="1:18" s="2058" customFormat="1" ht="18" customHeight="1" thickBot="1">
      <c r="A50" s="784"/>
      <c r="B50" s="785"/>
      <c r="C50" s="786"/>
      <c r="D50" s="787"/>
      <c r="E50" s="782" t="s">
        <v>1741</v>
      </c>
      <c r="F50" s="783">
        <f ca="1">F8</f>
        <v>0</v>
      </c>
      <c r="G50" s="2094"/>
      <c r="H50" s="2092"/>
      <c r="I50" s="2382" t="s">
        <v>2350</v>
      </c>
      <c r="J50" s="2395">
        <f>SUMPRODUCT((I63:I65=J47)*(J62:L62=J48)*(J63:L65))</f>
        <v>0</v>
      </c>
      <c r="K50" s="2393" t="s">
        <v>2357</v>
      </c>
      <c r="L50" s="2394"/>
      <c r="O50" s="2424" t="s">
        <v>2387</v>
      </c>
      <c r="P50" s="2422" t="s">
        <v>2411</v>
      </c>
      <c r="Q50" s="2423">
        <f ca="1">C29</f>
        <v>0</v>
      </c>
      <c r="R50" s="2422" t="s">
        <v>2384</v>
      </c>
    </row>
    <row r="51" spans="1:18" s="2058" customFormat="1" ht="18" customHeight="1" thickBot="1">
      <c r="A51" s="784"/>
      <c r="B51" s="785"/>
      <c r="C51" s="786"/>
      <c r="D51" s="787"/>
      <c r="E51" s="782" t="s">
        <v>640</v>
      </c>
      <c r="F51" s="2370"/>
      <c r="H51" s="2092"/>
      <c r="I51" s="2383" t="s">
        <v>2351</v>
      </c>
      <c r="J51" s="2396">
        <f>IF(J49="",J50,J49+J50-YEAR('数据-取费表'!B2))</f>
        <v>0</v>
      </c>
      <c r="K51" s="2382" t="s">
        <v>2358</v>
      </c>
      <c r="L51" s="2397">
        <f ca="1">ROUND(-PV(INDIRECT("'数据-取费表'!h"&amp;$G$1),L48,(C39-C13*J36),0),0)</f>
        <v>0</v>
      </c>
      <c r="O51" s="2424" t="s">
        <v>2388</v>
      </c>
      <c r="P51" s="2422" t="s">
        <v>2389</v>
      </c>
      <c r="Q51" s="2425" t="e">
        <f ca="1">J58</f>
        <v>#VALUE!</v>
      </c>
      <c r="R51" s="2426"/>
    </row>
    <row r="52" spans="1:18" s="2058" customFormat="1" ht="18" customHeight="1" thickBot="1">
      <c r="A52" s="779" t="s">
        <v>2540</v>
      </c>
      <c r="B52" s="2515" t="s">
        <v>2463</v>
      </c>
      <c r="C52" s="797">
        <f ca="1">ROUND(IF(F52="押一",C48/12*F11,IF(F52="押二",C48/12*2*F11,IF(F52="押三",C48/12*3*F11,C53*F11))),0)</f>
        <v>0</v>
      </c>
      <c r="D52" s="2522" t="s">
        <v>2976</v>
      </c>
      <c r="E52" s="2519" t="s">
        <v>2468</v>
      </c>
      <c r="F52" s="2642"/>
      <c r="I52" s="2384" t="s">
        <v>2425</v>
      </c>
      <c r="J52" s="2398"/>
      <c r="K52" s="2384" t="s">
        <v>2424</v>
      </c>
      <c r="L52" s="2398"/>
      <c r="O52" s="2424" t="s">
        <v>2390</v>
      </c>
      <c r="P52" s="2422" t="s">
        <v>2391</v>
      </c>
      <c r="Q52" s="2425">
        <f>J52</f>
        <v>0</v>
      </c>
      <c r="R52" s="2426"/>
    </row>
    <row r="53" spans="1:18" s="2058" customFormat="1" ht="39.75" customHeight="1" thickBot="1">
      <c r="A53" s="784"/>
      <c r="B53" s="2516" t="s">
        <v>2577</v>
      </c>
      <c r="C53" s="2520"/>
      <c r="D53" s="2522"/>
      <c r="E53" s="2519"/>
      <c r="F53" s="798"/>
      <c r="I53" s="2385" t="s">
        <v>2352</v>
      </c>
      <c r="J53" s="2399">
        <f ca="1">IF(M47="住宅",J51,IF(D1="——",MIN(J51,L48),IF(D1="土地（套用方法）",MIN(J51,L48-'数据-取费表'!B20))))</f>
        <v>0</v>
      </c>
      <c r="K53" s="3703" t="s">
        <v>2968</v>
      </c>
      <c r="L53" s="3704"/>
      <c r="O53" s="2424" t="s">
        <v>2392</v>
      </c>
      <c r="P53" s="2422" t="s">
        <v>2393</v>
      </c>
      <c r="Q53" s="2423">
        <f ca="1">J53</f>
        <v>0</v>
      </c>
      <c r="R53" s="2422" t="s">
        <v>2394</v>
      </c>
    </row>
    <row r="54" spans="1:18" s="2058" customFormat="1" ht="18" customHeight="1" thickBot="1">
      <c r="A54" s="2558" t="s">
        <v>2471</v>
      </c>
      <c r="B54" s="2559" t="s">
        <v>2464</v>
      </c>
      <c r="C54" s="2560"/>
      <c r="D54" s="2522"/>
      <c r="E54" s="2519"/>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2395</v>
      </c>
      <c r="P54" s="2422" t="s">
        <v>2412</v>
      </c>
      <c r="Q54" s="2423" t="e">
        <f ca="1">Q48+Q49</f>
        <v>#DIV/0!</v>
      </c>
      <c r="R54" s="2426" t="s">
        <v>2396</v>
      </c>
    </row>
    <row r="55" spans="1:18" s="2058" customFormat="1" ht="18" customHeight="1" thickTop="1" thickBot="1">
      <c r="A55" s="795">
        <v>2</v>
      </c>
      <c r="B55" s="796" t="s">
        <v>644</v>
      </c>
      <c r="C55" s="797">
        <f ca="1">C13</f>
        <v>0</v>
      </c>
      <c r="D55" s="793"/>
      <c r="E55" s="793"/>
      <c r="F55" s="798"/>
      <c r="I55" s="3122" t="s">
        <v>2359</v>
      </c>
      <c r="J55" s="3121" t="e">
        <f ca="1">ROUND(IF(J47="钢混",J57/J50,1-(1-2%)*(J50-J57)/J50),3)</f>
        <v>#VALUE!</v>
      </c>
      <c r="K55" s="2400" t="s">
        <v>2360</v>
      </c>
      <c r="L55" s="2401"/>
      <c r="O55" s="2427" t="s">
        <v>2415</v>
      </c>
      <c r="P55" s="1590"/>
      <c r="Q55" s="1602"/>
      <c r="R55" s="1590"/>
    </row>
    <row r="56" spans="1:18" s="2058" customFormat="1" ht="42.75" customHeight="1" thickBot="1">
      <c r="A56" s="1648"/>
      <c r="B56" s="2230" t="s">
        <v>2305</v>
      </c>
      <c r="C56" s="51">
        <f ca="1">C29</f>
        <v>0</v>
      </c>
      <c r="D56" s="2660"/>
      <c r="E56" s="782"/>
      <c r="F56" s="807"/>
      <c r="I56" s="2402" t="s">
        <v>2361</v>
      </c>
      <c r="J56" s="3138" t="s">
        <v>1679</v>
      </c>
      <c r="K56" s="2382" t="s">
        <v>2366</v>
      </c>
      <c r="L56" s="2391">
        <f ca="1">IF(L48&lt;J51,"——",L48-J51)</f>
        <v>50</v>
      </c>
      <c r="O56" s="2418" t="s">
        <v>2379</v>
      </c>
      <c r="P56" s="2419" t="s">
        <v>2380</v>
      </c>
      <c r="Q56" s="2420" t="s">
        <v>2381</v>
      </c>
      <c r="R56" s="2419" t="s">
        <v>2382</v>
      </c>
    </row>
    <row r="57" spans="1:18" s="2058" customFormat="1" ht="28.5" customHeight="1" thickBot="1">
      <c r="A57" s="795" t="s">
        <v>1749</v>
      </c>
      <c r="B57" s="796" t="s">
        <v>651</v>
      </c>
      <c r="C57" s="797">
        <f ca="1">ROUND(C58+C63+C64+C65,0)</f>
        <v>0</v>
      </c>
      <c r="D57" s="24" t="s">
        <v>1751</v>
      </c>
      <c r="E57" s="2661"/>
      <c r="F57" s="54"/>
      <c r="I57" s="2403" t="s">
        <v>2362</v>
      </c>
      <c r="J57" s="2405" t="str">
        <f ca="1">IF(OR(M47="住宅",J51&lt;L48,J56="是"),"——",J51-L48)</f>
        <v>——</v>
      </c>
      <c r="K57" s="2382" t="s">
        <v>2367</v>
      </c>
      <c r="L57" s="2391">
        <f ca="1">IF(L48&lt;J51,"——",IF(L55="比较法",L49,IF(L55="基准地价",L50,L51)))</f>
        <v>0</v>
      </c>
      <c r="O57" s="2421" t="s">
        <v>2383</v>
      </c>
      <c r="P57" s="2422" t="s">
        <v>2413</v>
      </c>
      <c r="Q57" s="2423" t="e">
        <f ca="1">C40+J29</f>
        <v>#DIV/0!</v>
      </c>
      <c r="R57" s="2422" t="s">
        <v>2384</v>
      </c>
    </row>
    <row r="58" spans="1:18" s="2058" customFormat="1" ht="28.5" customHeight="1" thickBot="1">
      <c r="A58" s="1647" t="s">
        <v>1825</v>
      </c>
      <c r="B58" s="782" t="s">
        <v>656</v>
      </c>
      <c r="C58" s="51">
        <f ca="1">ROUND(IF(项目基本情况!B11="自然人",C47*F58,C59+C60+C61),1)</f>
        <v>0</v>
      </c>
      <c r="D58" s="2659" t="s">
        <v>657</v>
      </c>
      <c r="E58" s="2660" t="s">
        <v>690</v>
      </c>
      <c r="F58" s="808" t="str">
        <f ca="1">IF(项目基本情况!B11="企业","",IF(INDIRECT("'数据-取费表'!c"&amp;$G$1)="住宅",5%,IF(F48*F49*F50/12/(1+'数据-取费表'!C42)&gt;20000,12%,7%)))</f>
        <v/>
      </c>
      <c r="I58" s="2403" t="s">
        <v>2363</v>
      </c>
      <c r="J58" s="3123" t="e">
        <f ca="1">IF(J55&lt;0.4,0.4,J55)</f>
        <v>#VALUE!</v>
      </c>
      <c r="K58" s="2382" t="s">
        <v>2368</v>
      </c>
      <c r="L58" s="2391" t="e">
        <f ca="1">ROUND(POWER(1+L52,L47-L48)*(POWER(1+L52,L48)-1)/(POWER(1+L52,L47)-1),4)</f>
        <v>#DIV/0!</v>
      </c>
      <c r="O58" s="2421" t="s">
        <v>2385</v>
      </c>
      <c r="P58" s="2422" t="s">
        <v>2416</v>
      </c>
      <c r="Q58" s="2423" t="e">
        <f ca="1">L60</f>
        <v>#DIV/0!</v>
      </c>
      <c r="R58" s="2426" t="s">
        <v>2418</v>
      </c>
    </row>
    <row r="59" spans="1:18" s="2058" customFormat="1" ht="28.5" customHeight="1" thickBot="1">
      <c r="A59" s="1646" t="s">
        <v>1832</v>
      </c>
      <c r="B59" s="782" t="s">
        <v>660</v>
      </c>
      <c r="C59" s="51">
        <f ca="1">ROUND(C47*F59/1.05,1)</f>
        <v>0</v>
      </c>
      <c r="D59" s="2660" t="s">
        <v>1757</v>
      </c>
      <c r="E59" s="782" t="s">
        <v>1748</v>
      </c>
      <c r="F59" s="807">
        <f t="shared" ref="F59:F65" si="0">F32</f>
        <v>5.6000000000000001E-2</v>
      </c>
      <c r="I59" s="2403" t="s">
        <v>2364</v>
      </c>
      <c r="J59" s="2405" t="str">
        <f ca="1">IF(OR(M47="住宅",J51&lt;L48,J56="是"),"——",ROUND(C29*J58,0))</f>
        <v>——</v>
      </c>
      <c r="K59" s="3145"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2387</v>
      </c>
      <c r="P59" s="2422" t="s">
        <v>2417</v>
      </c>
      <c r="Q59" s="2423">
        <f>IF(L55="比较法",L49,IF(L55="基准地价",L50,0))</f>
        <v>0</v>
      </c>
      <c r="R59" s="2422" t="s">
        <v>2384</v>
      </c>
    </row>
    <row r="60" spans="1:18" s="2058" customFormat="1" ht="18" customHeight="1" thickBot="1">
      <c r="A60" s="1646" t="s">
        <v>1833</v>
      </c>
      <c r="B60" s="782" t="s">
        <v>1759</v>
      </c>
      <c r="C60" s="51">
        <f ca="1">IF(D60="按租金收入计税",ROUND(C47*F60,1),IF(D60="按房产原值计税",ROUND(C56*F60*0.7,1),INDIRECT("'数据-取费表'!Aj"&amp;$G$1)))</f>
        <v>0</v>
      </c>
      <c r="D60" s="2660" t="str">
        <f>D33</f>
        <v>按房产原值计税</v>
      </c>
      <c r="E60" s="782" t="s">
        <v>1748</v>
      </c>
      <c r="F60" s="807">
        <f t="shared" si="0"/>
        <v>1.2E-2</v>
      </c>
      <c r="I60" s="2404" t="s">
        <v>2365</v>
      </c>
      <c r="J60" s="2406" t="str">
        <f ca="1">IF(OR(M47="住宅",J51&lt;L48,J56="是"),"0",ROUND(J59/(1+J52)^J53,0))</f>
        <v>0</v>
      </c>
      <c r="K60" s="2407" t="s">
        <v>2370</v>
      </c>
      <c r="L60" s="2406" t="e">
        <f ca="1">IF(OR(M47="住宅",L48&lt;J51),0,ROUND(L57*(L58/L59-1),0))</f>
        <v>#DIV/0!</v>
      </c>
      <c r="O60" s="2424" t="s">
        <v>2388</v>
      </c>
      <c r="P60" s="2422" t="s">
        <v>2397</v>
      </c>
      <c r="Q60" s="2425">
        <f>L52</f>
        <v>0</v>
      </c>
      <c r="R60" s="2426"/>
    </row>
    <row r="61" spans="1:18" s="2058" customFormat="1" ht="18" customHeight="1" thickBot="1">
      <c r="A61" s="1649" t="s">
        <v>1834</v>
      </c>
      <c r="B61" s="339" t="s">
        <v>668</v>
      </c>
      <c r="C61" s="52">
        <f ca="1">ROUND(F61*F62/10000,1)</f>
        <v>0</v>
      </c>
      <c r="D61" s="812" t="s">
        <v>669</v>
      </c>
      <c r="E61" s="782" t="s">
        <v>670</v>
      </c>
      <c r="F61" s="638">
        <f t="shared" si="0"/>
        <v>0</v>
      </c>
      <c r="K61" s="2085"/>
      <c r="O61" s="2424" t="s">
        <v>2390</v>
      </c>
      <c r="P61" s="2422" t="s">
        <v>2398</v>
      </c>
      <c r="Q61" s="2423" t="e">
        <f ca="1">L58</f>
        <v>#DIV/0!</v>
      </c>
      <c r="R61" s="2426" t="s">
        <v>2399</v>
      </c>
    </row>
    <row r="62" spans="1:18" s="2058" customFormat="1" ht="15.75" thickBot="1">
      <c r="A62" s="813"/>
      <c r="B62" s="791"/>
      <c r="C62" s="67"/>
      <c r="D62" s="814"/>
      <c r="E62" s="782" t="s">
        <v>674</v>
      </c>
      <c r="F62" s="783">
        <f t="shared" ca="1" si="0"/>
        <v>0</v>
      </c>
      <c r="I62" s="2408" t="s">
        <v>2371</v>
      </c>
      <c r="J62" s="2409" t="s">
        <v>2372</v>
      </c>
      <c r="K62" s="2409" t="s">
        <v>2373</v>
      </c>
      <c r="L62" s="2409" t="s">
        <v>2354</v>
      </c>
      <c r="M62" s="3124" t="s">
        <v>2943</v>
      </c>
      <c r="O62" s="2424" t="s">
        <v>2392</v>
      </c>
      <c r="P62" s="2422" t="str">
        <f>K59</f>
        <v>建筑物剩余耐用年限下的土地年期修正系数Kn</v>
      </c>
      <c r="Q62" s="2423" t="e">
        <f ca="1">L59</f>
        <v>#DIV/0!</v>
      </c>
      <c r="R62" s="2426" t="s">
        <v>2401</v>
      </c>
    </row>
    <row r="63" spans="1:18" s="2058" customFormat="1" ht="15.75" thickBot="1">
      <c r="A63" s="1647" t="s">
        <v>1890</v>
      </c>
      <c r="B63" s="782" t="s">
        <v>676</v>
      </c>
      <c r="C63" s="51">
        <f ca="1">ROUND(C56*F63,1)</f>
        <v>0</v>
      </c>
      <c r="D63" s="2660" t="s">
        <v>1804</v>
      </c>
      <c r="E63" s="782" t="s">
        <v>1748</v>
      </c>
      <c r="F63" s="815">
        <f t="shared" ca="1" si="0"/>
        <v>0</v>
      </c>
      <c r="I63" s="2408" t="s">
        <v>2374</v>
      </c>
      <c r="J63" s="2409">
        <v>70</v>
      </c>
      <c r="K63" s="2409">
        <v>50</v>
      </c>
      <c r="L63" s="2409">
        <v>80</v>
      </c>
      <c r="M63" s="3125">
        <v>0.02</v>
      </c>
      <c r="O63" s="2421" t="s">
        <v>2395</v>
      </c>
      <c r="P63" s="2422" t="s">
        <v>2412</v>
      </c>
      <c r="Q63" s="2423" t="e">
        <f ca="1">Q57+Q58</f>
        <v>#DIV/0!</v>
      </c>
      <c r="R63" s="2426" t="s">
        <v>2396</v>
      </c>
    </row>
    <row r="64" spans="1:18" s="2058" customFormat="1" ht="16.5" thickBot="1">
      <c r="A64" s="1647" t="s">
        <v>1891</v>
      </c>
      <c r="B64" s="782" t="s">
        <v>679</v>
      </c>
      <c r="C64" s="51">
        <f ca="1">ROUND(C55*F64,1)</f>
        <v>0</v>
      </c>
      <c r="D64" s="2660" t="s">
        <v>680</v>
      </c>
      <c r="E64" s="782" t="s">
        <v>1748</v>
      </c>
      <c r="F64" s="816">
        <f t="shared" ca="1" si="0"/>
        <v>0</v>
      </c>
      <c r="I64" s="2408" t="s">
        <v>2375</v>
      </c>
      <c r="J64" s="2409">
        <v>50</v>
      </c>
      <c r="K64" s="2409">
        <v>35</v>
      </c>
      <c r="L64" s="2409">
        <v>60</v>
      </c>
      <c r="M64" s="3126">
        <v>0</v>
      </c>
      <c r="O64" s="2427" t="s">
        <v>2419</v>
      </c>
      <c r="P64" s="1590"/>
      <c r="Q64" s="1602"/>
      <c r="R64" s="1590"/>
    </row>
    <row r="65" spans="1:18" s="2058" customFormat="1" ht="15.75" thickBot="1">
      <c r="A65" s="1647" t="s">
        <v>1892</v>
      </c>
      <c r="B65" s="782" t="s">
        <v>666</v>
      </c>
      <c r="C65" s="51">
        <f ca="1">ROUND(C47*F65,1)</f>
        <v>0</v>
      </c>
      <c r="D65" s="2660" t="s">
        <v>683</v>
      </c>
      <c r="E65" s="782" t="s">
        <v>1748</v>
      </c>
      <c r="F65" s="792">
        <f t="shared" ca="1" si="0"/>
        <v>0</v>
      </c>
      <c r="I65" s="2408" t="s">
        <v>2376</v>
      </c>
      <c r="J65" s="2409">
        <v>40</v>
      </c>
      <c r="K65" s="2409">
        <v>30</v>
      </c>
      <c r="L65" s="2409">
        <v>50</v>
      </c>
      <c r="M65" s="3125">
        <v>0.02</v>
      </c>
      <c r="O65" s="2418" t="s">
        <v>2379</v>
      </c>
      <c r="P65" s="2419" t="s">
        <v>2380</v>
      </c>
      <c r="Q65" s="2420" t="s">
        <v>2381</v>
      </c>
      <c r="R65" s="2419" t="s">
        <v>2382</v>
      </c>
    </row>
    <row r="66" spans="1:18" s="2058" customFormat="1" ht="24.75" thickBot="1">
      <c r="A66" s="795" t="s">
        <v>1777</v>
      </c>
      <c r="B66" s="3030" t="s">
        <v>2825</v>
      </c>
      <c r="C66" s="797">
        <f ca="1">C47-C57</f>
        <v>0</v>
      </c>
      <c r="D66" s="2659" t="s">
        <v>700</v>
      </c>
      <c r="E66" s="2658"/>
      <c r="F66" s="818"/>
      <c r="K66" s="2085"/>
      <c r="O66" s="2421" t="s">
        <v>2383</v>
      </c>
      <c r="P66" s="2422" t="s">
        <v>2413</v>
      </c>
      <c r="Q66" s="2423" t="e">
        <f ca="1">C40+J29</f>
        <v>#DIV/0!</v>
      </c>
      <c r="R66" s="2422" t="s">
        <v>2384</v>
      </c>
    </row>
    <row r="67" spans="1:18" s="2058" customFormat="1" ht="20.25" thickBot="1">
      <c r="A67" s="779" t="s">
        <v>1781</v>
      </c>
      <c r="B67" s="2231" t="s">
        <v>2304</v>
      </c>
      <c r="C67" s="781" t="e">
        <f ca="1">ROUND(C66*(1-((1+F69)/(1+F67))^F68)/(F67-F69),0)</f>
        <v>#DIV/0!</v>
      </c>
      <c r="D67" s="812" t="s">
        <v>704</v>
      </c>
      <c r="E67" s="782" t="s">
        <v>705</v>
      </c>
      <c r="F67" s="792">
        <f ca="1">F40</f>
        <v>0</v>
      </c>
      <c r="K67" s="2085"/>
      <c r="O67" s="2421" t="s">
        <v>2385</v>
      </c>
      <c r="P67" s="2422" t="s">
        <v>2416</v>
      </c>
      <c r="Q67" s="2423" t="e">
        <f ca="1">L60</f>
        <v>#DIV/0!</v>
      </c>
      <c r="R67" s="2426" t="s">
        <v>2418</v>
      </c>
    </row>
    <row r="68" spans="1:18" ht="21.75" thickBot="1">
      <c r="A68" s="784"/>
      <c r="B68" s="785"/>
      <c r="C68" s="786"/>
      <c r="D68" s="819" t="s">
        <v>1809</v>
      </c>
      <c r="E68" s="782" t="s">
        <v>1785</v>
      </c>
      <c r="F68" s="820">
        <f ca="1">F41</f>
        <v>0</v>
      </c>
      <c r="O68" s="2424" t="s">
        <v>2387</v>
      </c>
      <c r="P68" s="2422" t="s">
        <v>2417</v>
      </c>
      <c r="Q68" s="2428">
        <f ca="1">L51</f>
        <v>0</v>
      </c>
      <c r="R68" s="2429" t="s">
        <v>2420</v>
      </c>
    </row>
    <row r="69" spans="1:18" ht="20.25" thickBot="1">
      <c r="A69" s="788"/>
      <c r="B69" s="789"/>
      <c r="C69" s="790"/>
      <c r="D69" s="814"/>
      <c r="E69" s="782" t="s">
        <v>710</v>
      </c>
      <c r="F69" s="2370"/>
      <c r="O69" s="2424" t="s">
        <v>2388</v>
      </c>
      <c r="P69" s="2430" t="s">
        <v>2402</v>
      </c>
      <c r="Q69" s="2423">
        <f ca="1">ROUND(Q70-Q71*Q72,0)</f>
        <v>0</v>
      </c>
      <c r="R69" s="2426"/>
    </row>
    <row r="70" spans="1:18" ht="15.75" thickBot="1">
      <c r="A70" s="821" t="s">
        <v>1788</v>
      </c>
      <c r="B70" s="822" t="s">
        <v>1811</v>
      </c>
      <c r="C70" s="823" t="e">
        <f ca="1">ROUND(C67*10000/F70,0)</f>
        <v>#DIV/0!</v>
      </c>
      <c r="D70" s="824" t="s">
        <v>1812</v>
      </c>
      <c r="E70" s="825" t="s">
        <v>1813</v>
      </c>
      <c r="F70" s="826">
        <f ca="1">F43</f>
        <v>0</v>
      </c>
      <c r="O70" s="2424" t="s">
        <v>2403</v>
      </c>
      <c r="P70" s="2430" t="s">
        <v>2404</v>
      </c>
      <c r="Q70" s="2423">
        <f ca="1">C39</f>
        <v>0</v>
      </c>
      <c r="R70" s="2422" t="s">
        <v>2384</v>
      </c>
    </row>
    <row r="71" spans="1:18" ht="15.75" thickBot="1">
      <c r="O71" s="2424" t="s">
        <v>2405</v>
      </c>
      <c r="P71" s="2430" t="s">
        <v>2406</v>
      </c>
      <c r="Q71" s="2423">
        <f ca="1">C13</f>
        <v>0</v>
      </c>
      <c r="R71" s="2422" t="s">
        <v>2384</v>
      </c>
    </row>
    <row r="72" spans="1:18" ht="15.75" thickBot="1">
      <c r="O72" s="2424" t="s">
        <v>2407</v>
      </c>
      <c r="P72" s="2430" t="s">
        <v>2408</v>
      </c>
      <c r="Q72" s="2425">
        <f ca="1">J36</f>
        <v>0</v>
      </c>
      <c r="R72" s="2426"/>
    </row>
    <row r="73" spans="1:18" ht="15.75" thickBot="1">
      <c r="O73" s="2424" t="s">
        <v>2390</v>
      </c>
      <c r="P73" s="2422" t="s">
        <v>2397</v>
      </c>
      <c r="Q73" s="2425">
        <f>L52</f>
        <v>0</v>
      </c>
      <c r="R73" s="2426"/>
    </row>
    <row r="74" spans="1:18" ht="20.25" thickBot="1">
      <c r="O74" s="2424" t="s">
        <v>2392</v>
      </c>
      <c r="P74" s="2422" t="s">
        <v>2398</v>
      </c>
      <c r="Q74" s="2423" t="e">
        <f ca="1">L58</f>
        <v>#DIV/0!</v>
      </c>
      <c r="R74" s="2426" t="s">
        <v>2399</v>
      </c>
    </row>
    <row r="75" spans="1:18" ht="15.75" thickBot="1">
      <c r="O75" s="2424" t="s">
        <v>2421</v>
      </c>
      <c r="P75" s="2422" t="str">
        <f>K59</f>
        <v>建筑物剩余耐用年限下的土地年期修正系数Kn</v>
      </c>
      <c r="Q75" s="2423" t="e">
        <f ca="1">L59</f>
        <v>#DIV/0!</v>
      </c>
      <c r="R75" s="2426" t="s">
        <v>2401</v>
      </c>
    </row>
    <row r="76" spans="1:18" ht="15.75" thickBot="1">
      <c r="O76" s="2421" t="s">
        <v>2395</v>
      </c>
      <c r="P76" s="2422" t="s">
        <v>2412</v>
      </c>
      <c r="Q76" s="2423" t="e">
        <f ca="1">Q66+Q67</f>
        <v>#DIV/0!</v>
      </c>
      <c r="R76" s="2426"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05" t="s">
        <v>2475</v>
      </c>
      <c r="B1" s="3706"/>
      <c r="C1" s="3707"/>
      <c r="D1" s="3708">
        <f>SUM(I10,I15,I20,I21,I23)</f>
        <v>0</v>
      </c>
      <c r="E1" s="3708"/>
      <c r="F1" s="3708"/>
      <c r="G1" s="3708"/>
      <c r="H1" s="3708"/>
      <c r="I1" s="3709"/>
    </row>
    <row r="2" spans="1:9">
      <c r="A2" s="3710" t="s">
        <v>2476</v>
      </c>
      <c r="B2" s="3711" t="s">
        <v>2477</v>
      </c>
      <c r="C2" s="3711"/>
      <c r="D2" s="2528" t="s">
        <v>2478</v>
      </c>
      <c r="E2" s="2528" t="s">
        <v>2479</v>
      </c>
      <c r="F2" s="2528" t="s">
        <v>2480</v>
      </c>
      <c r="G2" s="2528" t="s">
        <v>2481</v>
      </c>
      <c r="H2" s="2528" t="s">
        <v>2482</v>
      </c>
      <c r="I2" s="2529" t="s">
        <v>2483</v>
      </c>
    </row>
    <row r="3" spans="1:9">
      <c r="A3" s="3710"/>
      <c r="B3" s="3711" t="s">
        <v>2484</v>
      </c>
      <c r="C3" s="3711"/>
      <c r="D3" s="2530"/>
      <c r="E3" s="2528"/>
      <c r="F3" s="2531"/>
      <c r="G3" s="2531"/>
      <c r="H3" s="2532"/>
      <c r="I3" s="2533">
        <f>ROUND(D3*E3*F3*G3*H3/10000,0)</f>
        <v>0</v>
      </c>
    </row>
    <row r="4" spans="1:9">
      <c r="A4" s="3710"/>
      <c r="B4" s="3711" t="s">
        <v>2485</v>
      </c>
      <c r="C4" s="3711"/>
      <c r="D4" s="2530"/>
      <c r="E4" s="2528"/>
      <c r="F4" s="2531"/>
      <c r="G4" s="2531"/>
      <c r="H4" s="2532"/>
      <c r="I4" s="2533">
        <f t="shared" ref="I4:I9" si="0">ROUND(D4*E4*F4*G4*H4/10000,0)</f>
        <v>0</v>
      </c>
    </row>
    <row r="5" spans="1:9">
      <c r="A5" s="3710"/>
      <c r="B5" s="3711" t="s">
        <v>2486</v>
      </c>
      <c r="C5" s="3711"/>
      <c r="D5" s="2530"/>
      <c r="E5" s="2528"/>
      <c r="F5" s="2531"/>
      <c r="G5" s="2531"/>
      <c r="H5" s="2532"/>
      <c r="I5" s="2533">
        <f t="shared" si="0"/>
        <v>0</v>
      </c>
    </row>
    <row r="6" spans="1:9">
      <c r="A6" s="3710"/>
      <c r="B6" s="3711" t="s">
        <v>2487</v>
      </c>
      <c r="C6" s="3711"/>
      <c r="D6" s="2530"/>
      <c r="E6" s="2528"/>
      <c r="F6" s="2531"/>
      <c r="G6" s="2531"/>
      <c r="H6" s="2532"/>
      <c r="I6" s="2533">
        <f t="shared" si="0"/>
        <v>0</v>
      </c>
    </row>
    <row r="7" spans="1:9">
      <c r="A7" s="3710"/>
      <c r="B7" s="3711" t="s">
        <v>2488</v>
      </c>
      <c r="C7" s="3711"/>
      <c r="D7" s="2530"/>
      <c r="E7" s="2528"/>
      <c r="F7" s="2531"/>
      <c r="G7" s="2531"/>
      <c r="H7" s="2532"/>
      <c r="I7" s="2533">
        <f t="shared" si="0"/>
        <v>0</v>
      </c>
    </row>
    <row r="8" spans="1:9">
      <c r="A8" s="3710"/>
      <c r="B8" s="3711" t="s">
        <v>2489</v>
      </c>
      <c r="C8" s="3711"/>
      <c r="D8" s="2530"/>
      <c r="E8" s="2528"/>
      <c r="F8" s="2531"/>
      <c r="G8" s="2531"/>
      <c r="H8" s="2532"/>
      <c r="I8" s="2533">
        <f t="shared" si="0"/>
        <v>0</v>
      </c>
    </row>
    <row r="9" spans="1:9">
      <c r="A9" s="3710"/>
      <c r="B9" s="3711" t="s">
        <v>2490</v>
      </c>
      <c r="C9" s="3711"/>
      <c r="D9" s="2530"/>
      <c r="E9" s="2528"/>
      <c r="F9" s="2531"/>
      <c r="G9" s="2531"/>
      <c r="H9" s="2532"/>
      <c r="I9" s="2533">
        <f t="shared" si="0"/>
        <v>0</v>
      </c>
    </row>
    <row r="10" spans="1:9">
      <c r="A10" s="3710"/>
      <c r="B10" s="3712" t="s">
        <v>2491</v>
      </c>
      <c r="C10" s="3712"/>
      <c r="D10" s="2534">
        <v>527</v>
      </c>
      <c r="E10" s="2534" t="e">
        <f>ROUND(D1*10000/D10/H9,0)</f>
        <v>#DIV/0!</v>
      </c>
      <c r="F10" s="2535"/>
      <c r="G10" s="2535"/>
      <c r="H10" s="2536"/>
      <c r="I10" s="2537">
        <f>SUM(I3:I9)</f>
        <v>0</v>
      </c>
    </row>
    <row r="11" spans="1:9" ht="14.25">
      <c r="A11" s="3710" t="s">
        <v>2492</v>
      </c>
      <c r="B11" s="3711" t="s">
        <v>2493</v>
      </c>
      <c r="C11" s="3711"/>
      <c r="D11" s="2530" t="s">
        <v>2494</v>
      </c>
      <c r="E11" s="2530" t="s">
        <v>2495</v>
      </c>
      <c r="F11" s="2531" t="s">
        <v>2496</v>
      </c>
      <c r="G11" s="2531" t="s">
        <v>2497</v>
      </c>
      <c r="H11" s="2538" t="s">
        <v>2498</v>
      </c>
      <c r="I11" s="2529" t="s">
        <v>2499</v>
      </c>
    </row>
    <row r="12" spans="1:9">
      <c r="A12" s="3710"/>
      <c r="B12" s="3711" t="s">
        <v>2500</v>
      </c>
      <c r="C12" s="3711"/>
      <c r="D12" s="2530"/>
      <c r="E12" s="2530"/>
      <c r="F12" s="2531"/>
      <c r="G12" s="2532"/>
      <c r="H12" s="2539"/>
      <c r="I12" s="2529">
        <f>ROUND(D12*E12*F12*G12/10000,0)</f>
        <v>0</v>
      </c>
    </row>
    <row r="13" spans="1:9">
      <c r="A13" s="3710"/>
      <c r="B13" s="3711" t="s">
        <v>2501</v>
      </c>
      <c r="C13" s="3711"/>
      <c r="D13" s="2530"/>
      <c r="E13" s="2530"/>
      <c r="F13" s="2531"/>
      <c r="G13" s="2532"/>
      <c r="H13" s="2539"/>
      <c r="I13" s="2529">
        <f>ROUND(D13*E13*F13*G13/10000,0)</f>
        <v>0</v>
      </c>
    </row>
    <row r="14" spans="1:9">
      <c r="A14" s="3710"/>
      <c r="B14" s="3711" t="s">
        <v>2502</v>
      </c>
      <c r="C14" s="3711"/>
      <c r="D14" s="2530"/>
      <c r="E14" s="2530"/>
      <c r="F14" s="2531"/>
      <c r="G14" s="2532"/>
      <c r="H14" s="2539"/>
      <c r="I14" s="2529">
        <f>ROUND(D14*E14*F14*G14/10000,0)</f>
        <v>0</v>
      </c>
    </row>
    <row r="15" spans="1:9">
      <c r="A15" s="3710"/>
      <c r="B15" s="3712" t="s">
        <v>2491</v>
      </c>
      <c r="C15" s="3712"/>
      <c r="D15" s="2534"/>
      <c r="E15" s="2534">
        <f>SUM(E12:E14)</f>
        <v>0</v>
      </c>
      <c r="F15" s="2535"/>
      <c r="G15" s="2532"/>
      <c r="H15" s="2539"/>
      <c r="I15" s="2540">
        <f>SUM(I12:I14)</f>
        <v>0</v>
      </c>
    </row>
    <row r="16" spans="1:9" ht="24">
      <c r="A16" s="3710" t="s">
        <v>2503</v>
      </c>
      <c r="B16" s="3711" t="s">
        <v>2504</v>
      </c>
      <c r="C16" s="3711"/>
      <c r="D16" s="2530" t="s">
        <v>2505</v>
      </c>
      <c r="E16" s="2541" t="s">
        <v>2506</v>
      </c>
      <c r="F16" s="2531" t="s">
        <v>2507</v>
      </c>
      <c r="G16" s="2532" t="s">
        <v>2497</v>
      </c>
      <c r="H16" s="2538" t="s">
        <v>2498</v>
      </c>
      <c r="I16" s="2529" t="s">
        <v>2499</v>
      </c>
    </row>
    <row r="17" spans="1:9" ht="14.25">
      <c r="A17" s="3710"/>
      <c r="B17" s="3711" t="s">
        <v>2508</v>
      </c>
      <c r="C17" s="3711"/>
      <c r="D17" s="2530"/>
      <c r="E17" s="2530"/>
      <c r="F17" s="2531"/>
      <c r="G17" s="2532"/>
      <c r="H17" s="2542"/>
      <c r="I17" s="2543">
        <f>ROUND(D17*E17*F17*G17/10000,0)</f>
        <v>0</v>
      </c>
    </row>
    <row r="18" spans="1:9" ht="14.25">
      <c r="A18" s="3710"/>
      <c r="B18" s="3711" t="s">
        <v>2509</v>
      </c>
      <c r="C18" s="3711"/>
      <c r="D18" s="2530"/>
      <c r="E18" s="2530"/>
      <c r="F18" s="2531"/>
      <c r="G18" s="2532"/>
      <c r="H18" s="2542"/>
      <c r="I18" s="2543">
        <f>ROUND(D18*E18*F18*G18/10000,0)</f>
        <v>0</v>
      </c>
    </row>
    <row r="19" spans="1:9" ht="14.25">
      <c r="A19" s="3710"/>
      <c r="B19" s="3711" t="s">
        <v>2510</v>
      </c>
      <c r="C19" s="3711"/>
      <c r="D19" s="2530"/>
      <c r="E19" s="2530"/>
      <c r="F19" s="2531"/>
      <c r="G19" s="2532"/>
      <c r="H19" s="2542"/>
      <c r="I19" s="2543">
        <f>ROUND(D19*E19*F19*G19/10000,0)</f>
        <v>0</v>
      </c>
    </row>
    <row r="20" spans="1:9">
      <c r="A20" s="3710"/>
      <c r="B20" s="3712" t="s">
        <v>2491</v>
      </c>
      <c r="C20" s="3712"/>
      <c r="D20" s="2534">
        <f>SUM(D17:D19)</f>
        <v>0</v>
      </c>
      <c r="E20" s="2534"/>
      <c r="F20" s="2535"/>
      <c r="G20" s="2532"/>
      <c r="H20" s="2539"/>
      <c r="I20" s="2540">
        <f>SUM(I17:I19)</f>
        <v>0</v>
      </c>
    </row>
    <row r="21" spans="1:9">
      <c r="A21" s="3710" t="s">
        <v>2511</v>
      </c>
      <c r="B21" s="3714"/>
      <c r="C21" s="3714"/>
      <c r="D21" s="3714"/>
      <c r="E21" s="3714"/>
      <c r="F21" s="3714"/>
      <c r="G21" s="3714"/>
      <c r="H21" s="2544">
        <v>0.1</v>
      </c>
      <c r="I21" s="2537">
        <f>ROUND(I10*H21,0)</f>
        <v>0</v>
      </c>
    </row>
    <row r="22" spans="1:9" ht="14.25">
      <c r="A22" s="3715" t="s">
        <v>2512</v>
      </c>
      <c r="B22" s="3716"/>
      <c r="C22" s="3717"/>
      <c r="D22" s="2545" t="s">
        <v>2513</v>
      </c>
      <c r="E22" s="2545" t="s">
        <v>2514</v>
      </c>
      <c r="F22" s="2546" t="s">
        <v>2515</v>
      </c>
      <c r="G22" s="2546" t="s">
        <v>2516</v>
      </c>
      <c r="H22" s="2538" t="s">
        <v>2517</v>
      </c>
      <c r="I22" s="2529" t="s">
        <v>2518</v>
      </c>
    </row>
    <row r="23" spans="1:9" ht="14.25" thickBot="1">
      <c r="A23" s="3718"/>
      <c r="B23" s="3719"/>
      <c r="C23" s="3720"/>
      <c r="D23" s="2547"/>
      <c r="E23" s="2547"/>
      <c r="F23" s="2547"/>
      <c r="G23" s="2548"/>
      <c r="H23" s="2549"/>
      <c r="I23" s="2550">
        <f>ROUND(E23*D23*F23*(1-G23)/10000,0)</f>
        <v>0</v>
      </c>
    </row>
    <row r="26" spans="1:9">
      <c r="A26" s="2551" t="s">
        <v>2519</v>
      </c>
      <c r="B26" s="2551"/>
      <c r="C26" s="2551"/>
      <c r="D26" s="2551"/>
      <c r="E26" s="3721">
        <f>C27-C30-C31-C32</f>
        <v>0</v>
      </c>
      <c r="F26" s="3721"/>
      <c r="G26" s="3721"/>
      <c r="H26" s="3063" t="s">
        <v>2845</v>
      </c>
    </row>
    <row r="27" spans="1:9">
      <c r="A27" s="2552">
        <v>1</v>
      </c>
      <c r="B27" s="2553" t="s">
        <v>2520</v>
      </c>
      <c r="C27" s="2553"/>
      <c r="D27" s="2553"/>
      <c r="E27" s="3722"/>
      <c r="F27" s="3722"/>
      <c r="G27" s="3722"/>
    </row>
    <row r="28" spans="1:9">
      <c r="A28" s="2554" t="s">
        <v>2521</v>
      </c>
      <c r="B28" s="2553" t="s">
        <v>2522</v>
      </c>
      <c r="C28" s="2553"/>
      <c r="D28" s="2553"/>
      <c r="E28" s="3722"/>
      <c r="F28" s="3722"/>
      <c r="G28" s="3722"/>
    </row>
    <row r="29" spans="1:9">
      <c r="A29" s="2554" t="s">
        <v>2523</v>
      </c>
      <c r="B29" s="2553" t="s">
        <v>2464</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713"/>
      <c r="F32" s="3713"/>
      <c r="G32" s="3713"/>
    </row>
    <row r="33" spans="1:7" hidden="1">
      <c r="A33" s="3723" t="s">
        <v>2530</v>
      </c>
      <c r="B33" s="3724"/>
      <c r="C33" s="3724"/>
      <c r="D33" s="3725"/>
      <c r="E33" s="3721"/>
      <c r="F33" s="3721"/>
      <c r="G33" s="3721"/>
    </row>
    <row r="34" spans="1:7" hidden="1">
      <c r="A34" s="2556">
        <v>1</v>
      </c>
      <c r="B34" s="2553" t="s">
        <v>2531</v>
      </c>
      <c r="C34" s="2553"/>
      <c r="D34" s="2553"/>
      <c r="E34" s="3722"/>
      <c r="F34" s="3722"/>
      <c r="G34" s="3722"/>
    </row>
    <row r="35" spans="1:7" hidden="1">
      <c r="A35" s="2556">
        <v>2</v>
      </c>
      <c r="B35" s="2553" t="s">
        <v>2532</v>
      </c>
      <c r="C35" s="2553"/>
      <c r="D35" s="2553"/>
      <c r="E35" s="3722"/>
      <c r="F35" s="3722"/>
      <c r="G35" s="3722"/>
    </row>
    <row r="36" spans="1:7" hidden="1">
      <c r="A36" s="2556">
        <v>3</v>
      </c>
      <c r="B36" s="2553" t="s">
        <v>2533</v>
      </c>
      <c r="C36" s="2553"/>
      <c r="D36" s="2553"/>
      <c r="E36" s="3722"/>
      <c r="F36" s="3722"/>
      <c r="G36" s="3722"/>
    </row>
    <row r="37" spans="1:7" hidden="1">
      <c r="A37" s="2556">
        <v>4</v>
      </c>
      <c r="B37" s="2553" t="s">
        <v>2534</v>
      </c>
      <c r="C37" s="2553"/>
      <c r="D37" s="2553"/>
      <c r="E37" s="3722"/>
      <c r="F37" s="3722"/>
      <c r="G37" s="3722"/>
    </row>
    <row r="38" spans="1:7" hidden="1">
      <c r="A38" s="3723" t="s">
        <v>2535</v>
      </c>
      <c r="B38" s="3724"/>
      <c r="C38" s="3724"/>
      <c r="D38" s="3725"/>
      <c r="E38" s="3721"/>
      <c r="F38" s="3721"/>
      <c r="G38" s="37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603</v>
      </c>
      <c r="B1" s="740"/>
      <c r="C1" s="2181"/>
      <c r="D1" s="2181"/>
      <c r="E1" s="2181"/>
      <c r="F1" s="2181"/>
      <c r="G1" s="2107"/>
    </row>
    <row r="2" spans="1:25" s="2058" customFormat="1" ht="18" customHeight="1">
      <c r="A2" s="421" t="s">
        <v>467</v>
      </c>
      <c r="B2" s="423">
        <f ca="1">C23</f>
        <v>0</v>
      </c>
      <c r="C2" s="2107"/>
      <c r="D2" s="2107"/>
      <c r="E2" s="2107"/>
      <c r="F2" s="2107"/>
      <c r="G2" s="2107"/>
    </row>
    <row r="3" spans="1:25" s="2058" customFormat="1" ht="18" customHeight="1">
      <c r="A3" s="1377" t="s">
        <v>1686</v>
      </c>
      <c r="B3" s="423">
        <f ca="1">ROUND(B2*10000/'数据-汇总表'!E3,0)</f>
        <v>0</v>
      </c>
      <c r="C3" s="2107"/>
      <c r="D3" s="2107"/>
      <c r="E3" s="2107"/>
      <c r="F3" s="2107"/>
      <c r="G3" s="2107"/>
    </row>
    <row r="4" spans="1:25" s="2058" customFormat="1" ht="18" customHeight="1">
      <c r="A4" s="424" t="s">
        <v>468</v>
      </c>
      <c r="B4" s="425">
        <f ca="1">ROUND(B2*10000/'数据-汇总表'!D3,0)</f>
        <v>0</v>
      </c>
      <c r="C4" s="2060"/>
      <c r="D4" s="2107"/>
      <c r="E4" s="2107"/>
      <c r="F4" s="2107"/>
      <c r="G4" s="2107"/>
    </row>
    <row r="5" spans="1:25" s="2058" customFormat="1" ht="18" customHeight="1" thickBot="1">
      <c r="A5" s="427"/>
      <c r="B5" s="428">
        <f ca="1">ROUND(B2/('数据-汇总表'!D3/666.67),0)</f>
        <v>0</v>
      </c>
      <c r="C5" s="429" t="s">
        <v>469</v>
      </c>
      <c r="D5" s="2107"/>
      <c r="E5" s="2107"/>
      <c r="F5" s="2107"/>
      <c r="G5" s="2107"/>
    </row>
    <row r="6" spans="1:25" s="2182" customFormat="1" ht="13.5" customHeight="1">
      <c r="A6" s="741"/>
      <c r="B6" s="742" t="s">
        <v>604</v>
      </c>
      <c r="C6" s="743" t="s">
        <v>605</v>
      </c>
      <c r="D6" s="743" t="s">
        <v>606</v>
      </c>
      <c r="E6" s="744" t="s">
        <v>607</v>
      </c>
      <c r="F6" s="744" t="s">
        <v>608</v>
      </c>
      <c r="G6" s="745"/>
    </row>
    <row r="7" spans="1:25" s="2182" customFormat="1" ht="13.5" customHeight="1">
      <c r="A7" s="2490">
        <v>1</v>
      </c>
      <c r="B7" s="746" t="s">
        <v>609</v>
      </c>
      <c r="C7" s="747">
        <f>C8+C9</f>
        <v>0</v>
      </c>
      <c r="D7" s="747"/>
      <c r="E7" s="748"/>
      <c r="F7" s="748"/>
      <c r="G7" s="2500"/>
    </row>
    <row r="8" spans="1:25" s="2182" customFormat="1" ht="13.5" customHeight="1">
      <c r="A8" s="2490" t="s">
        <v>2444</v>
      </c>
      <c r="B8" s="2493" t="s">
        <v>2446</v>
      </c>
      <c r="C8" s="2494"/>
      <c r="D8" s="747"/>
      <c r="E8" s="748"/>
      <c r="F8" s="748"/>
      <c r="G8" s="749"/>
    </row>
    <row r="9" spans="1:25" s="2182" customFormat="1" ht="13.5" customHeight="1">
      <c r="A9" s="2490" t="s">
        <v>2445</v>
      </c>
      <c r="B9" s="2493" t="s">
        <v>2447</v>
      </c>
      <c r="C9" s="2494"/>
      <c r="D9" s="747"/>
      <c r="E9" s="748"/>
      <c r="F9" s="748"/>
      <c r="G9" s="749"/>
    </row>
    <row r="10" spans="1:25" s="2182" customFormat="1" ht="36">
      <c r="A10" s="2490">
        <v>2</v>
      </c>
      <c r="B10" s="746" t="s">
        <v>613</v>
      </c>
      <c r="C10" s="747">
        <f>C11+C14+C15</f>
        <v>0</v>
      </c>
      <c r="D10" s="758">
        <f>'数据-汇总表'!E3</f>
        <v>10000</v>
      </c>
      <c r="E10" s="747">
        <f>'数据-取费表'!B31</f>
        <v>200</v>
      </c>
      <c r="F10" s="759"/>
      <c r="G10" s="757" t="s">
        <v>614</v>
      </c>
    </row>
    <row r="11" spans="1:25" s="2182" customFormat="1" ht="13.5" customHeight="1">
      <c r="A11" s="2490" t="s">
        <v>2444</v>
      </c>
      <c r="B11" s="750" t="s">
        <v>610</v>
      </c>
      <c r="C11" s="751">
        <f>'数据-取费表'!B29</f>
        <v>0</v>
      </c>
      <c r="D11" s="752"/>
      <c r="E11" s="751"/>
      <c r="F11" s="753"/>
      <c r="G11" s="2499" t="s">
        <v>2455</v>
      </c>
    </row>
    <row r="12" spans="1:25" s="2182" customFormat="1" ht="13.5" customHeight="1">
      <c r="A12" s="2497" t="s">
        <v>2452</v>
      </c>
      <c r="B12" s="754" t="s">
        <v>611</v>
      </c>
      <c r="C12" s="755">
        <f>ROUND(D12*E12/10000,0)</f>
        <v>0</v>
      </c>
      <c r="D12" s="756">
        <f>'数据-汇总表'!E5</f>
        <v>0</v>
      </c>
      <c r="E12" s="755">
        <f>'数据-取费表'!B27</f>
        <v>0</v>
      </c>
      <c r="F12" s="753"/>
      <c r="G12" s="757"/>
    </row>
    <row r="13" spans="1:25" s="2182" customFormat="1" ht="13.5" customHeight="1">
      <c r="A13" s="2497" t="s">
        <v>2451</v>
      </c>
      <c r="B13" s="754" t="s">
        <v>612</v>
      </c>
      <c r="C13" s="755">
        <f>ROUND(D13*E13/10000,0)</f>
        <v>200</v>
      </c>
      <c r="D13" s="756">
        <f>'数据-汇总表'!E6</f>
        <v>10000</v>
      </c>
      <c r="E13" s="755">
        <f>'数据-取费表'!B28</f>
        <v>200</v>
      </c>
      <c r="F13" s="753"/>
      <c r="G13" s="757"/>
    </row>
    <row r="14" spans="1:25" s="2182" customFormat="1" ht="13.5" customHeight="1">
      <c r="A14" s="2490" t="s">
        <v>2445</v>
      </c>
      <c r="B14" s="2496" t="s">
        <v>2448</v>
      </c>
      <c r="C14" s="2494"/>
      <c r="D14" s="756"/>
      <c r="E14" s="755"/>
      <c r="F14" s="2495"/>
      <c r="G14" s="2498" t="s">
        <v>2453</v>
      </c>
    </row>
    <row r="15" spans="1:25" s="2182" customFormat="1" ht="13.5" customHeight="1">
      <c r="A15" s="2490" t="s">
        <v>2450</v>
      </c>
      <c r="B15" s="2496" t="s">
        <v>2449</v>
      </c>
      <c r="C15" s="2494"/>
      <c r="D15" s="756"/>
      <c r="E15" s="755"/>
      <c r="F15" s="2495"/>
      <c r="G15" s="2498" t="s">
        <v>2454</v>
      </c>
    </row>
    <row r="16" spans="1:25" s="2183" customFormat="1" ht="48">
      <c r="A16" s="2490">
        <v>3</v>
      </c>
      <c r="B16" s="746" t="s">
        <v>615</v>
      </c>
      <c r="C16" s="2494"/>
      <c r="D16" s="758"/>
      <c r="E16" s="747"/>
      <c r="F16" s="759"/>
      <c r="G16" s="757"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6" t="s">
        <v>616</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6" t="s">
        <v>617</v>
      </c>
      <c r="C18" s="747">
        <f>ROUND((C7+C10+C16)*F18,0)</f>
        <v>0</v>
      </c>
      <c r="D18" s="760"/>
      <c r="E18" s="761"/>
      <c r="F18" s="759">
        <f>'数据-取费表'!Q16</f>
        <v>0.2</v>
      </c>
      <c r="G18" s="763"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6" t="s">
        <v>619</v>
      </c>
      <c r="C19" s="747">
        <f ca="1">C7+C10+C16+C17+C18</f>
        <v>0</v>
      </c>
      <c r="D19" s="758"/>
      <c r="E19" s="747"/>
      <c r="F19" s="759"/>
      <c r="G19" s="763"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6" t="s">
        <v>621</v>
      </c>
      <c r="C20" s="747">
        <f ca="1">ROUND(C19*F20,0)</f>
        <v>0</v>
      </c>
      <c r="D20" s="758"/>
      <c r="E20" s="747"/>
      <c r="F20" s="1346"/>
      <c r="G20" s="763"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6" t="s">
        <v>623</v>
      </c>
      <c r="C21" s="747">
        <f ca="1">C19+C20</f>
        <v>0</v>
      </c>
      <c r="D21" s="758"/>
      <c r="E21" s="747"/>
      <c r="F21" s="759"/>
      <c r="G21" s="763"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6" t="s">
        <v>625</v>
      </c>
      <c r="C22" s="747">
        <f ca="1">ROUND(C21*F22,0)</f>
        <v>0</v>
      </c>
      <c r="D22" s="758"/>
      <c r="E22" s="747"/>
      <c r="F22" s="764">
        <f>'数据-取费表'!AP16</f>
        <v>0.85899999999999999</v>
      </c>
      <c r="G22" s="763"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5" t="s">
        <v>627</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4" t="s">
        <v>719</v>
      </c>
      <c r="C1" s="2645" t="s">
        <v>720</v>
      </c>
      <c r="D1" s="2646"/>
      <c r="E1" s="2647"/>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3"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7" t="s">
        <v>519</v>
      </c>
      <c r="B3" s="849" t="e">
        <f>C49</f>
        <v>#DIV/0!</v>
      </c>
      <c r="C3" s="850" t="s">
        <v>722</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521</v>
      </c>
      <c r="B4" s="511"/>
      <c r="C4" s="3620" t="s">
        <v>522</v>
      </c>
      <c r="D4" s="3621"/>
      <c r="E4" s="3654" t="s">
        <v>523</v>
      </c>
      <c r="F4" s="3655"/>
      <c r="G4" s="3620" t="s">
        <v>524</v>
      </c>
      <c r="H4" s="3621"/>
      <c r="I4" s="3620" t="s">
        <v>525</v>
      </c>
      <c r="J4" s="3621"/>
      <c r="K4" s="851" t="s">
        <v>526</v>
      </c>
      <c r="L4" s="2132"/>
      <c r="M4" s="2133"/>
      <c r="N4" s="2133"/>
      <c r="O4" s="2133"/>
      <c r="P4" s="3622" t="s">
        <v>527</v>
      </c>
      <c r="Q4" s="3623"/>
      <c r="R4" s="3628" t="s">
        <v>523</v>
      </c>
      <c r="S4" s="3629"/>
      <c r="T4" s="3628" t="s">
        <v>524</v>
      </c>
      <c r="U4" s="3629"/>
      <c r="V4" s="3615" t="s">
        <v>525</v>
      </c>
      <c r="W4" s="3615"/>
      <c r="X4" s="1565"/>
      <c r="Y4" s="3628" t="s">
        <v>527</v>
      </c>
      <c r="Z4" s="3629"/>
      <c r="AA4" s="3617" t="s">
        <v>523</v>
      </c>
      <c r="AB4" s="3617" t="s">
        <v>524</v>
      </c>
      <c r="AC4" s="3617" t="s">
        <v>525</v>
      </c>
    </row>
    <row r="5" spans="1:29" ht="15">
      <c r="A5" s="513"/>
      <c r="B5" s="514"/>
      <c r="C5" s="3636" t="s">
        <v>2930</v>
      </c>
      <c r="D5" s="3637"/>
      <c r="E5" s="3656" t="s">
        <v>2931</v>
      </c>
      <c r="F5" s="3657"/>
      <c r="G5" s="3636" t="s">
        <v>2932</v>
      </c>
      <c r="H5" s="3637"/>
      <c r="I5" s="3636" t="s">
        <v>2933</v>
      </c>
      <c r="J5" s="3637"/>
      <c r="K5" s="852"/>
      <c r="L5" s="2132"/>
      <c r="M5" s="2133"/>
      <c r="N5" s="2133"/>
      <c r="O5" s="2133"/>
      <c r="P5" s="3624"/>
      <c r="Q5" s="3625"/>
      <c r="R5" s="3630"/>
      <c r="S5" s="3631"/>
      <c r="T5" s="3630"/>
      <c r="U5" s="3631"/>
      <c r="V5" s="3615"/>
      <c r="W5" s="3615"/>
      <c r="X5" s="1565"/>
      <c r="Y5" s="3630"/>
      <c r="Z5" s="3631"/>
      <c r="AA5" s="3618"/>
      <c r="AB5" s="3618"/>
      <c r="AC5" s="3618"/>
    </row>
    <row r="6" spans="1:29" ht="15.75" thickBot="1">
      <c r="A6" s="515"/>
      <c r="B6" s="516"/>
      <c r="C6" s="3634" t="s">
        <v>2934</v>
      </c>
      <c r="D6" s="3635"/>
      <c r="E6" s="3652" t="s">
        <v>2934</v>
      </c>
      <c r="F6" s="3653"/>
      <c r="G6" s="3634" t="s">
        <v>2934</v>
      </c>
      <c r="H6" s="3635"/>
      <c r="I6" s="3634" t="s">
        <v>2934</v>
      </c>
      <c r="J6" s="3635"/>
      <c r="K6" s="852" t="s">
        <v>528</v>
      </c>
      <c r="L6" s="2132"/>
      <c r="M6" s="2133"/>
      <c r="N6" s="2133"/>
      <c r="O6" s="2133"/>
      <c r="P6" s="3626"/>
      <c r="Q6" s="3627"/>
      <c r="R6" s="3630"/>
      <c r="S6" s="3631"/>
      <c r="T6" s="3632"/>
      <c r="U6" s="3633"/>
      <c r="V6" s="3615"/>
      <c r="W6" s="3615"/>
      <c r="X6" s="1565"/>
      <c r="Y6" s="3632"/>
      <c r="Z6" s="3633"/>
      <c r="AA6" s="3619"/>
      <c r="AB6" s="3619"/>
      <c r="AC6" s="3619"/>
    </row>
    <row r="7" spans="1:29" s="1217" customFormat="1" ht="15.75" thickBot="1">
      <c r="A7" s="2931"/>
      <c r="B7" s="2938" t="s">
        <v>529</v>
      </c>
      <c r="C7" s="517">
        <f>'数据-取费表'!B2</f>
        <v>43382</v>
      </c>
      <c r="D7" s="518">
        <v>100</v>
      </c>
      <c r="E7" s="519"/>
      <c r="F7" s="520">
        <f>SUMIF(58:58,YEAR(E7)&amp;"-"&amp;MONTH(E7),59:59)</f>
        <v>0</v>
      </c>
      <c r="G7" s="521"/>
      <c r="H7" s="518">
        <f>SUMIF(58:58,YEAR(G7)&amp;"-"&amp;MONTH(G7),59:59)</f>
        <v>0</v>
      </c>
      <c r="I7" s="521"/>
      <c r="J7" s="518">
        <f>SUMIF(58:58,YEAR(I7)&amp;"-"&amp;MONTH(I7),59:59)</f>
        <v>0</v>
      </c>
      <c r="K7" s="853"/>
      <c r="L7" s="2134"/>
      <c r="M7" s="2135"/>
      <c r="N7" s="2135"/>
      <c r="O7" s="2135"/>
      <c r="P7" s="3645" t="s">
        <v>530</v>
      </c>
      <c r="Q7" s="3647"/>
      <c r="R7" s="1566" t="s">
        <v>13</v>
      </c>
      <c r="S7" s="1567">
        <f t="shared" ref="S7:S15" si="0">F7</f>
        <v>0</v>
      </c>
      <c r="T7" s="1566" t="s">
        <v>13</v>
      </c>
      <c r="U7" s="1567">
        <f t="shared" ref="U7:U15" si="1">H7</f>
        <v>0</v>
      </c>
      <c r="V7" s="1566" t="s">
        <v>13</v>
      </c>
      <c r="W7" s="1567">
        <f t="shared" ref="W7:W15" si="2">J7</f>
        <v>0</v>
      </c>
      <c r="X7" s="1568"/>
      <c r="Y7" s="3645" t="s">
        <v>530</v>
      </c>
      <c r="Z7" s="3646"/>
      <c r="AA7" s="1569" t="e">
        <f>D7/F7</f>
        <v>#DIV/0!</v>
      </c>
      <c r="AB7" s="1569" t="e">
        <f>D7/H7</f>
        <v>#DIV/0!</v>
      </c>
      <c r="AC7" s="1569" t="e">
        <f>D7/J7</f>
        <v>#DIV/0!</v>
      </c>
    </row>
    <row r="8" spans="1:29" s="1217" customFormat="1" ht="15.75" thickBot="1">
      <c r="A8" s="2932"/>
      <c r="B8" s="2939" t="s">
        <v>531</v>
      </c>
      <c r="C8" s="523" t="s">
        <v>576</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645" t="s">
        <v>533</v>
      </c>
      <c r="Q8" s="3646"/>
      <c r="R8" s="1566" t="s">
        <v>13</v>
      </c>
      <c r="S8" s="1567">
        <f t="shared" si="0"/>
        <v>0</v>
      </c>
      <c r="T8" s="1566" t="s">
        <v>13</v>
      </c>
      <c r="U8" s="1567">
        <f t="shared" si="1"/>
        <v>0</v>
      </c>
      <c r="V8" s="1566" t="s">
        <v>13</v>
      </c>
      <c r="W8" s="1567">
        <f t="shared" si="2"/>
        <v>0</v>
      </c>
      <c r="X8" s="1568"/>
      <c r="Y8" s="3645" t="s">
        <v>533</v>
      </c>
      <c r="Z8" s="364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614" t="s">
        <v>535</v>
      </c>
      <c r="Q9" s="1148" t="str">
        <f t="shared" ref="Q9:Q15" si="6">B9</f>
        <v>用途</v>
      </c>
      <c r="R9" s="1566" t="s">
        <v>8</v>
      </c>
      <c r="S9" s="1567">
        <f t="shared" si="0"/>
        <v>100</v>
      </c>
      <c r="T9" s="1566" t="s">
        <v>8</v>
      </c>
      <c r="U9" s="1567">
        <f t="shared" si="1"/>
        <v>100</v>
      </c>
      <c r="V9" s="1566" t="s">
        <v>8</v>
      </c>
      <c r="W9" s="1567">
        <f t="shared" si="2"/>
        <v>100</v>
      </c>
      <c r="X9" s="1568"/>
      <c r="Y9" s="3448"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614"/>
      <c r="Q10" s="1148" t="str">
        <f t="shared" si="6"/>
        <v>土地使用年限（年）</v>
      </c>
      <c r="R10" s="1566" t="s">
        <v>8</v>
      </c>
      <c r="S10" s="1567">
        <f t="shared" si="0"/>
        <v>100</v>
      </c>
      <c r="T10" s="1566" t="s">
        <v>8</v>
      </c>
      <c r="U10" s="1567">
        <f t="shared" si="1"/>
        <v>100</v>
      </c>
      <c r="V10" s="1566" t="s">
        <v>8</v>
      </c>
      <c r="W10" s="1567">
        <f t="shared" si="2"/>
        <v>100</v>
      </c>
      <c r="X10" s="1568"/>
      <c r="Y10" s="3448"/>
      <c r="Z10" s="1147" t="str">
        <f t="shared" si="7"/>
        <v>土地使用年限（年）</v>
      </c>
      <c r="AA10" s="1569">
        <f t="shared" si="3"/>
        <v>1</v>
      </c>
      <c r="AB10" s="1569">
        <f t="shared" si="4"/>
        <v>1</v>
      </c>
      <c r="AC10" s="1569">
        <f t="shared" si="5"/>
        <v>1</v>
      </c>
    </row>
    <row r="11" spans="1:29" ht="15">
      <c r="A11" s="2935"/>
      <c r="B11" s="2939"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614"/>
      <c r="Q11" s="1148" t="str">
        <f t="shared" si="6"/>
        <v>容积率</v>
      </c>
      <c r="R11" s="1566" t="s">
        <v>11</v>
      </c>
      <c r="S11" s="1567" t="e">
        <f t="shared" si="0"/>
        <v>#N/A</v>
      </c>
      <c r="T11" s="1566" t="s">
        <v>11</v>
      </c>
      <c r="U11" s="1567" t="e">
        <f t="shared" si="1"/>
        <v>#N/A</v>
      </c>
      <c r="V11" s="1566" t="s">
        <v>11</v>
      </c>
      <c r="W11" s="1567" t="e">
        <f t="shared" si="2"/>
        <v>#N/A</v>
      </c>
      <c r="X11" s="1568"/>
      <c r="Y11" s="3448"/>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614"/>
      <c r="Q12" s="1148">
        <f t="shared" si="6"/>
        <v>111</v>
      </c>
      <c r="R12" s="1566" t="s">
        <v>11</v>
      </c>
      <c r="S12" s="1567">
        <f t="shared" si="0"/>
        <v>100</v>
      </c>
      <c r="T12" s="1566" t="s">
        <v>11</v>
      </c>
      <c r="U12" s="1567">
        <f t="shared" si="1"/>
        <v>100</v>
      </c>
      <c r="V12" s="1566" t="s">
        <v>11</v>
      </c>
      <c r="W12" s="1567">
        <f t="shared" si="2"/>
        <v>100</v>
      </c>
      <c r="X12" s="1568"/>
      <c r="Y12" s="3448"/>
      <c r="Z12" s="1147">
        <f t="shared" si="7"/>
        <v>111</v>
      </c>
      <c r="AA12" s="1569">
        <f>D12/F12</f>
        <v>1</v>
      </c>
      <c r="AB12" s="1569">
        <f>D12/H12</f>
        <v>1</v>
      </c>
      <c r="AC12" s="1569">
        <f>D12/J12</f>
        <v>1</v>
      </c>
    </row>
    <row r="13" spans="1:29" ht="15">
      <c r="A13" s="2936"/>
      <c r="B13" s="2942">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614"/>
      <c r="Q13" s="1148">
        <f t="shared" si="6"/>
        <v>111</v>
      </c>
      <c r="R13" s="1566" t="s">
        <v>11</v>
      </c>
      <c r="S13" s="1567">
        <f t="shared" si="0"/>
        <v>100</v>
      </c>
      <c r="T13" s="1566" t="s">
        <v>11</v>
      </c>
      <c r="U13" s="1567">
        <f t="shared" si="1"/>
        <v>100</v>
      </c>
      <c r="V13" s="1566" t="s">
        <v>11</v>
      </c>
      <c r="W13" s="1567">
        <f t="shared" si="2"/>
        <v>100</v>
      </c>
      <c r="X13" s="1568"/>
      <c r="Y13" s="3448"/>
      <c r="Z13" s="1147">
        <f t="shared" si="7"/>
        <v>111</v>
      </c>
      <c r="AA13" s="1569">
        <f t="shared" si="3"/>
        <v>1</v>
      </c>
      <c r="AB13" s="1569">
        <f t="shared" si="4"/>
        <v>1</v>
      </c>
      <c r="AC13" s="1569">
        <f t="shared" si="5"/>
        <v>1</v>
      </c>
    </row>
    <row r="14" spans="1:29" ht="15.75" thickBot="1">
      <c r="A14" s="2937"/>
      <c r="B14" s="2943">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614"/>
      <c r="Q14" s="1148">
        <f t="shared" si="6"/>
        <v>111</v>
      </c>
      <c r="R14" s="1566" t="s">
        <v>11</v>
      </c>
      <c r="S14" s="1567">
        <f t="shared" si="0"/>
        <v>100</v>
      </c>
      <c r="T14" s="1566" t="s">
        <v>11</v>
      </c>
      <c r="U14" s="1567">
        <f t="shared" si="1"/>
        <v>100</v>
      </c>
      <c r="V14" s="1566" t="s">
        <v>11</v>
      </c>
      <c r="W14" s="1567">
        <f t="shared" si="2"/>
        <v>100</v>
      </c>
      <c r="X14" s="1568"/>
      <c r="Y14" s="3448"/>
      <c r="Z14" s="1147">
        <f t="shared" si="7"/>
        <v>111</v>
      </c>
      <c r="AA14" s="1569">
        <f t="shared" si="3"/>
        <v>1</v>
      </c>
      <c r="AB14" s="1569">
        <f t="shared" si="4"/>
        <v>1</v>
      </c>
      <c r="AC14" s="1569">
        <f t="shared" si="5"/>
        <v>1</v>
      </c>
    </row>
    <row r="15" spans="1:29" ht="99.75">
      <c r="A15" s="2929"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648" t="s">
        <v>540</v>
      </c>
      <c r="Q15" s="1570" t="str">
        <f t="shared" si="6"/>
        <v>居住社区成熟度</v>
      </c>
      <c r="R15" s="1571" t="s">
        <v>11</v>
      </c>
      <c r="S15" s="1572">
        <f t="shared" si="0"/>
        <v>100</v>
      </c>
      <c r="T15" s="1571" t="s">
        <v>11</v>
      </c>
      <c r="U15" s="1572">
        <f t="shared" si="1"/>
        <v>100</v>
      </c>
      <c r="V15" s="1571" t="s">
        <v>11</v>
      </c>
      <c r="W15" s="1572">
        <f t="shared" si="2"/>
        <v>100</v>
      </c>
      <c r="X15" s="1565"/>
      <c r="Y15" s="3648"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649"/>
      <c r="Q16" s="1570"/>
      <c r="R16" s="1571"/>
      <c r="S16" s="1572"/>
      <c r="T16" s="1571"/>
      <c r="U16" s="1572"/>
      <c r="V16" s="1571"/>
      <c r="W16" s="1572"/>
      <c r="X16" s="1565"/>
      <c r="Y16" s="3649"/>
      <c r="Z16" s="1573"/>
      <c r="AA16" s="1574">
        <v>1</v>
      </c>
      <c r="AB16" s="1574">
        <v>1</v>
      </c>
      <c r="AC16" s="1574">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649"/>
      <c r="Q17" s="1570" t="str">
        <f>B17</f>
        <v>交通便捷度</v>
      </c>
      <c r="R17" s="1571" t="s">
        <v>11</v>
      </c>
      <c r="S17" s="1572">
        <f>F17</f>
        <v>100</v>
      </c>
      <c r="T17" s="1571" t="s">
        <v>11</v>
      </c>
      <c r="U17" s="1572">
        <f>H17</f>
        <v>100</v>
      </c>
      <c r="V17" s="1571" t="s">
        <v>11</v>
      </c>
      <c r="W17" s="1572">
        <f>J17</f>
        <v>100</v>
      </c>
      <c r="X17" s="1565"/>
      <c r="Y17" s="364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649"/>
      <c r="Q18" s="1570"/>
      <c r="R18" s="1571"/>
      <c r="S18" s="1572"/>
      <c r="T18" s="1571"/>
      <c r="U18" s="1572"/>
      <c r="V18" s="1571"/>
      <c r="W18" s="1572"/>
      <c r="X18" s="1565"/>
      <c r="Y18" s="364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649"/>
      <c r="Q19" s="1570" t="str">
        <f>B19</f>
        <v>公共配套设施</v>
      </c>
      <c r="R19" s="1571" t="s">
        <v>11</v>
      </c>
      <c r="S19" s="1572">
        <f>F19</f>
        <v>100</v>
      </c>
      <c r="T19" s="1571" t="s">
        <v>11</v>
      </c>
      <c r="U19" s="1572">
        <f>H19</f>
        <v>100</v>
      </c>
      <c r="V19" s="1571" t="s">
        <v>11</v>
      </c>
      <c r="W19" s="1572">
        <f>J19</f>
        <v>100</v>
      </c>
      <c r="X19" s="1565"/>
      <c r="Y19" s="364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649"/>
      <c r="Q20" s="1570"/>
      <c r="R20" s="1571"/>
      <c r="S20" s="1572"/>
      <c r="T20" s="1571"/>
      <c r="U20" s="1572"/>
      <c r="V20" s="1571"/>
      <c r="W20" s="1572"/>
      <c r="X20" s="1565"/>
      <c r="Y20" s="364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649"/>
      <c r="Q21" s="2600" t="str">
        <f>B21</f>
        <v>基础设施水平</v>
      </c>
      <c r="R21" s="1571" t="s">
        <v>11</v>
      </c>
      <c r="S21" s="1572">
        <f>F21</f>
        <v>100</v>
      </c>
      <c r="T21" s="1571" t="s">
        <v>11</v>
      </c>
      <c r="U21" s="1572">
        <f>H21</f>
        <v>100</v>
      </c>
      <c r="V21" s="1571" t="s">
        <v>11</v>
      </c>
      <c r="W21" s="1572">
        <f>J21</f>
        <v>100</v>
      </c>
      <c r="X21" s="2602"/>
      <c r="Y21" s="364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41"/>
      <c r="M22" s="2133"/>
      <c r="N22" s="2133"/>
      <c r="O22" s="2140"/>
      <c r="P22" s="3649"/>
      <c r="Q22" s="2600"/>
      <c r="R22" s="1571"/>
      <c r="S22" s="1572"/>
      <c r="T22" s="1571"/>
      <c r="U22" s="1572"/>
      <c r="V22" s="1571"/>
      <c r="W22" s="1572"/>
      <c r="X22" s="2602"/>
      <c r="Y22" s="3649"/>
      <c r="Z22" s="2601"/>
      <c r="AA22" s="1574">
        <v>1</v>
      </c>
      <c r="AB22" s="1574">
        <v>1</v>
      </c>
      <c r="AC22" s="1574">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649"/>
      <c r="Q23" s="1570" t="str">
        <f>B23</f>
        <v>自然及人文环境</v>
      </c>
      <c r="R23" s="1571" t="s">
        <v>11</v>
      </c>
      <c r="S23" s="1572">
        <f>F23</f>
        <v>100</v>
      </c>
      <c r="T23" s="1571" t="s">
        <v>11</v>
      </c>
      <c r="U23" s="1572">
        <f>H23</f>
        <v>100</v>
      </c>
      <c r="V23" s="1571" t="s">
        <v>11</v>
      </c>
      <c r="W23" s="1572">
        <f>J23</f>
        <v>100</v>
      </c>
      <c r="X23" s="1565"/>
      <c r="Y23" s="364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649"/>
      <c r="Q24" s="1570"/>
      <c r="R24" s="1571"/>
      <c r="S24" s="1572"/>
      <c r="T24" s="1571"/>
      <c r="U24" s="1572"/>
      <c r="V24" s="1571"/>
      <c r="W24" s="1572"/>
      <c r="X24" s="1565"/>
      <c r="Y24" s="3649"/>
      <c r="Z24" s="1573"/>
      <c r="AA24" s="1574">
        <v>1</v>
      </c>
      <c r="AB24" s="1574">
        <v>1</v>
      </c>
      <c r="AC24" s="1574">
        <v>1</v>
      </c>
    </row>
    <row r="25" spans="1:29" ht="15">
      <c r="A25" s="530"/>
      <c r="B25" s="1894" t="s">
        <v>2259</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649"/>
      <c r="Q25" s="1570" t="str">
        <f t="shared" ref="Q25:Q46" si="11">B25</f>
        <v>楼层-1</v>
      </c>
      <c r="R25" s="1571" t="s">
        <v>11</v>
      </c>
      <c r="S25" s="1572">
        <f>F25</f>
        <v>100</v>
      </c>
      <c r="T25" s="1571" t="s">
        <v>11</v>
      </c>
      <c r="U25" s="1572">
        <f>H25</f>
        <v>100</v>
      </c>
      <c r="V25" s="1571" t="s">
        <v>11</v>
      </c>
      <c r="W25" s="1572">
        <f>J25</f>
        <v>100</v>
      </c>
      <c r="X25" s="1565"/>
      <c r="Y25" s="3649"/>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649"/>
      <c r="Q26" s="1570" t="str">
        <f t="shared" si="11"/>
        <v>朝向</v>
      </c>
      <c r="R26" s="1571" t="s">
        <v>11</v>
      </c>
      <c r="S26" s="1572">
        <f>F26</f>
        <v>100</v>
      </c>
      <c r="T26" s="1571" t="s">
        <v>11</v>
      </c>
      <c r="U26" s="1572">
        <f>H26</f>
        <v>100</v>
      </c>
      <c r="V26" s="1571" t="s">
        <v>11</v>
      </c>
      <c r="W26" s="1572">
        <f>J26</f>
        <v>100</v>
      </c>
      <c r="X26" s="1565"/>
      <c r="Y26" s="3649"/>
      <c r="Z26" s="1573" t="str">
        <f>Q26</f>
        <v>朝向</v>
      </c>
      <c r="AA26" s="1574">
        <f t="shared" si="3"/>
        <v>1</v>
      </c>
      <c r="AB26" s="1574">
        <f t="shared" si="4"/>
        <v>1</v>
      </c>
      <c r="AC26" s="1574">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649"/>
      <c r="Q27" s="1148" t="str">
        <f t="shared" si="11"/>
        <v>道路级别</v>
      </c>
      <c r="R27" s="1566" t="s">
        <v>11</v>
      </c>
      <c r="S27" s="1567">
        <f>F27</f>
        <v>100</v>
      </c>
      <c r="T27" s="1566" t="s">
        <v>11</v>
      </c>
      <c r="U27" s="1567">
        <f>H27</f>
        <v>100</v>
      </c>
      <c r="V27" s="1566" t="s">
        <v>11</v>
      </c>
      <c r="W27" s="1567">
        <f>J27</f>
        <v>100</v>
      </c>
      <c r="X27" s="1568"/>
      <c r="Y27" s="3649"/>
      <c r="Z27" s="1147"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649"/>
      <c r="Q28" s="1570">
        <f t="shared" si="11"/>
        <v>111</v>
      </c>
      <c r="R28" s="1571" t="s">
        <v>11</v>
      </c>
      <c r="S28" s="1572">
        <f t="shared" ref="S28:S46" si="12">F28</f>
        <v>100</v>
      </c>
      <c r="T28" s="1571" t="s">
        <v>11</v>
      </c>
      <c r="U28" s="1572">
        <f t="shared" ref="U28:U46" si="13">H28</f>
        <v>100</v>
      </c>
      <c r="V28" s="1571" t="s">
        <v>11</v>
      </c>
      <c r="W28" s="1572">
        <f t="shared" ref="W28:W46" si="14">J28</f>
        <v>100</v>
      </c>
      <c r="X28" s="1565"/>
      <c r="Y28" s="3649"/>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649"/>
      <c r="Q29" s="1570">
        <f t="shared" si="11"/>
        <v>111</v>
      </c>
      <c r="R29" s="1571" t="s">
        <v>11</v>
      </c>
      <c r="S29" s="1572">
        <f t="shared" si="12"/>
        <v>100</v>
      </c>
      <c r="T29" s="1571" t="s">
        <v>11</v>
      </c>
      <c r="U29" s="1572">
        <f t="shared" si="13"/>
        <v>100</v>
      </c>
      <c r="V29" s="1571" t="s">
        <v>11</v>
      </c>
      <c r="W29" s="1572">
        <f t="shared" si="14"/>
        <v>100</v>
      </c>
      <c r="X29" s="1565"/>
      <c r="Y29" s="364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649"/>
      <c r="Q30" s="1570">
        <f t="shared" si="11"/>
        <v>111</v>
      </c>
      <c r="R30" s="1571" t="s">
        <v>11</v>
      </c>
      <c r="S30" s="1572">
        <f t="shared" si="12"/>
        <v>100</v>
      </c>
      <c r="T30" s="1571" t="s">
        <v>11</v>
      </c>
      <c r="U30" s="1572">
        <f t="shared" si="13"/>
        <v>100</v>
      </c>
      <c r="V30" s="1571" t="s">
        <v>11</v>
      </c>
      <c r="W30" s="1572">
        <f t="shared" si="14"/>
        <v>100</v>
      </c>
      <c r="X30" s="1565"/>
      <c r="Y30" s="3649"/>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649"/>
      <c r="Q31" s="1570">
        <f t="shared" si="11"/>
        <v>111</v>
      </c>
      <c r="R31" s="1571" t="s">
        <v>11</v>
      </c>
      <c r="S31" s="1572">
        <f t="shared" si="12"/>
        <v>100</v>
      </c>
      <c r="T31" s="1571" t="s">
        <v>11</v>
      </c>
      <c r="U31" s="1572">
        <f t="shared" si="13"/>
        <v>100</v>
      </c>
      <c r="V31" s="1571" t="s">
        <v>11</v>
      </c>
      <c r="W31" s="1572">
        <f t="shared" si="14"/>
        <v>100</v>
      </c>
      <c r="X31" s="1565"/>
      <c r="Y31" s="3649"/>
      <c r="Z31" s="1573">
        <f t="shared" si="15"/>
        <v>111</v>
      </c>
      <c r="AA31" s="1574">
        <f t="shared" si="3"/>
        <v>1</v>
      </c>
      <c r="AB31" s="1574">
        <f t="shared" si="4"/>
        <v>1</v>
      </c>
      <c r="AC31" s="1574">
        <f t="shared" si="5"/>
        <v>1</v>
      </c>
    </row>
    <row r="32" spans="1:29" ht="15">
      <c r="A32" s="2926"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650" t="s">
        <v>550</v>
      </c>
      <c r="Q32" s="1570" t="str">
        <f t="shared" si="11"/>
        <v>建筑类型</v>
      </c>
      <c r="R32" s="1571" t="s">
        <v>11</v>
      </c>
      <c r="S32" s="1572">
        <f t="shared" si="12"/>
        <v>100</v>
      </c>
      <c r="T32" s="1571" t="s">
        <v>11</v>
      </c>
      <c r="U32" s="1572">
        <f t="shared" si="13"/>
        <v>100</v>
      </c>
      <c r="V32" s="1571" t="s">
        <v>11</v>
      </c>
      <c r="W32" s="1572">
        <f t="shared" si="14"/>
        <v>100</v>
      </c>
      <c r="X32" s="1565"/>
      <c r="Y32" s="3651" t="s">
        <v>550</v>
      </c>
      <c r="Z32" s="1573" t="str">
        <f t="shared" si="15"/>
        <v>建筑类型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651"/>
      <c r="Q33" s="1603" t="str">
        <f t="shared" si="11"/>
        <v>项目建筑规模</v>
      </c>
      <c r="R33" s="1575" t="s">
        <v>11</v>
      </c>
      <c r="S33" s="1576" t="e">
        <f t="shared" si="12"/>
        <v>#N/A</v>
      </c>
      <c r="T33" s="1575" t="s">
        <v>11</v>
      </c>
      <c r="U33" s="1576" t="e">
        <f t="shared" si="13"/>
        <v>#N/A</v>
      </c>
      <c r="V33" s="1575" t="s">
        <v>11</v>
      </c>
      <c r="W33" s="1576" t="e">
        <f t="shared" si="14"/>
        <v>#N/A</v>
      </c>
      <c r="X33" s="1577"/>
      <c r="Y33" s="365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651"/>
      <c r="Q34" s="1570" t="str">
        <f t="shared" si="11"/>
        <v>建筑结构</v>
      </c>
      <c r="R34" s="1571" t="s">
        <v>11</v>
      </c>
      <c r="S34" s="1572">
        <f t="shared" si="12"/>
        <v>100</v>
      </c>
      <c r="T34" s="1571" t="s">
        <v>11</v>
      </c>
      <c r="U34" s="1572">
        <f t="shared" si="13"/>
        <v>100</v>
      </c>
      <c r="V34" s="1571" t="s">
        <v>11</v>
      </c>
      <c r="W34" s="1572">
        <f t="shared" si="14"/>
        <v>100</v>
      </c>
      <c r="X34" s="1565"/>
      <c r="Y34" s="3651"/>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651"/>
      <c r="Q35" s="1570" t="str">
        <f t="shared" si="11"/>
        <v>建筑品质</v>
      </c>
      <c r="R35" s="1571" t="s">
        <v>11</v>
      </c>
      <c r="S35" s="1572">
        <f t="shared" si="12"/>
        <v>100</v>
      </c>
      <c r="T35" s="1571" t="s">
        <v>11</v>
      </c>
      <c r="U35" s="1572">
        <f t="shared" si="13"/>
        <v>100</v>
      </c>
      <c r="V35" s="1571" t="s">
        <v>11</v>
      </c>
      <c r="W35" s="1572">
        <f t="shared" si="14"/>
        <v>100</v>
      </c>
      <c r="X35" s="1565"/>
      <c r="Y35" s="3651"/>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651"/>
      <c r="Q36" s="1570" t="str">
        <f t="shared" si="11"/>
        <v>公共部分装修</v>
      </c>
      <c r="R36" s="1571" t="s">
        <v>11</v>
      </c>
      <c r="S36" s="1572">
        <f t="shared" si="12"/>
        <v>100</v>
      </c>
      <c r="T36" s="1571" t="s">
        <v>11</v>
      </c>
      <c r="U36" s="1572">
        <f t="shared" si="13"/>
        <v>100</v>
      </c>
      <c r="V36" s="1571" t="s">
        <v>11</v>
      </c>
      <c r="W36" s="1572">
        <f t="shared" si="14"/>
        <v>100</v>
      </c>
      <c r="X36" s="1565"/>
      <c r="Y36" s="3651"/>
      <c r="Z36" s="1573" t="str">
        <f t="shared" si="15"/>
        <v>公共部分装修</v>
      </c>
      <c r="AA36" s="1574">
        <f t="shared" si="3"/>
        <v>1</v>
      </c>
      <c r="AB36" s="1574">
        <f t="shared" si="4"/>
        <v>1</v>
      </c>
      <c r="AC36" s="1574">
        <f t="shared" si="5"/>
        <v>1</v>
      </c>
    </row>
    <row r="37" spans="1:29" s="1217"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651"/>
      <c r="Q37" s="1148" t="str">
        <f t="shared" si="11"/>
        <v>成新度</v>
      </c>
      <c r="R37" s="1566" t="s">
        <v>11</v>
      </c>
      <c r="S37" s="1567" t="e">
        <f t="shared" si="12"/>
        <v>#N/A</v>
      </c>
      <c r="T37" s="1566" t="s">
        <v>11</v>
      </c>
      <c r="U37" s="1567" t="e">
        <f t="shared" si="13"/>
        <v>#N/A</v>
      </c>
      <c r="V37" s="1566" t="s">
        <v>11</v>
      </c>
      <c r="W37" s="1567" t="e">
        <f t="shared" si="14"/>
        <v>#N/A</v>
      </c>
      <c r="X37" s="1568"/>
      <c r="Y37" s="3651"/>
      <c r="Z37" s="1147"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651" t="s">
        <v>550</v>
      </c>
      <c r="Q38" s="1570" t="str">
        <f t="shared" si="11"/>
        <v>物业管理</v>
      </c>
      <c r="R38" s="1571" t="s">
        <v>11</v>
      </c>
      <c r="S38" s="1572">
        <f t="shared" si="12"/>
        <v>100</v>
      </c>
      <c r="T38" s="1571" t="s">
        <v>11</v>
      </c>
      <c r="U38" s="1572">
        <f t="shared" si="13"/>
        <v>100</v>
      </c>
      <c r="V38" s="1571" t="s">
        <v>11</v>
      </c>
      <c r="W38" s="1572">
        <f t="shared" si="14"/>
        <v>100</v>
      </c>
      <c r="X38" s="1565"/>
      <c r="Y38" s="3651" t="s">
        <v>550</v>
      </c>
      <c r="Z38" s="1573" t="str">
        <f t="shared" si="15"/>
        <v>物业管理</v>
      </c>
      <c r="AA38" s="1574">
        <f t="shared" si="3"/>
        <v>1</v>
      </c>
      <c r="AB38" s="1574">
        <f t="shared" si="4"/>
        <v>1</v>
      </c>
      <c r="AC38" s="1574">
        <f t="shared" si="5"/>
        <v>1</v>
      </c>
    </row>
    <row r="39" spans="1:29" ht="15">
      <c r="A39" s="592"/>
      <c r="B39" s="1894"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651"/>
      <c r="Q39" s="1570" t="str">
        <f t="shared" si="11"/>
        <v>市政基础设施</v>
      </c>
      <c r="R39" s="1571" t="s">
        <v>11</v>
      </c>
      <c r="S39" s="1572">
        <f t="shared" si="12"/>
        <v>100</v>
      </c>
      <c r="T39" s="1571" t="s">
        <v>11</v>
      </c>
      <c r="U39" s="1572">
        <f t="shared" si="13"/>
        <v>100</v>
      </c>
      <c r="V39" s="1571" t="s">
        <v>11</v>
      </c>
      <c r="W39" s="1572">
        <f t="shared" si="14"/>
        <v>100</v>
      </c>
      <c r="X39" s="1565"/>
      <c r="Y39" s="3651"/>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651"/>
      <c r="Q40" s="1570" t="str">
        <f t="shared" si="11"/>
        <v>房型</v>
      </c>
      <c r="R40" s="1571" t="s">
        <v>11</v>
      </c>
      <c r="S40" s="1572">
        <f t="shared" si="12"/>
        <v>100</v>
      </c>
      <c r="T40" s="1571" t="s">
        <v>11</v>
      </c>
      <c r="U40" s="1572">
        <f t="shared" si="13"/>
        <v>100</v>
      </c>
      <c r="V40" s="1571" t="s">
        <v>11</v>
      </c>
      <c r="W40" s="1572">
        <f t="shared" si="14"/>
        <v>100</v>
      </c>
      <c r="X40" s="1565"/>
      <c r="Y40" s="3651"/>
      <c r="Z40" s="1573" t="str">
        <f t="shared" si="15"/>
        <v>房型</v>
      </c>
      <c r="AA40" s="1574">
        <f t="shared" si="3"/>
        <v>1</v>
      </c>
      <c r="AB40" s="1574">
        <f t="shared" si="4"/>
        <v>1</v>
      </c>
      <c r="AC40" s="1574">
        <f t="shared" si="5"/>
        <v>1</v>
      </c>
    </row>
    <row r="41" spans="1:29" s="1336"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651"/>
      <c r="Q41" s="1603" t="str">
        <f t="shared" si="11"/>
        <v>单套/主力户型建筑面积</v>
      </c>
      <c r="R41" s="1575" t="s">
        <v>11</v>
      </c>
      <c r="S41" s="1576">
        <f t="shared" si="12"/>
        <v>100</v>
      </c>
      <c r="T41" s="1575" t="s">
        <v>11</v>
      </c>
      <c r="U41" s="1576">
        <f t="shared" si="13"/>
        <v>100</v>
      </c>
      <c r="V41" s="1575" t="s">
        <v>11</v>
      </c>
      <c r="W41" s="1576">
        <f t="shared" si="14"/>
        <v>100</v>
      </c>
      <c r="X41" s="1577"/>
      <c r="Y41" s="3651"/>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651"/>
      <c r="Q42" s="1570" t="str">
        <f t="shared" si="11"/>
        <v>内部装修</v>
      </c>
      <c r="R42" s="1571" t="s">
        <v>11</v>
      </c>
      <c r="S42" s="1572">
        <f t="shared" si="12"/>
        <v>100</v>
      </c>
      <c r="T42" s="1571" t="s">
        <v>11</v>
      </c>
      <c r="U42" s="1572">
        <f t="shared" si="13"/>
        <v>100</v>
      </c>
      <c r="V42" s="1571" t="s">
        <v>11</v>
      </c>
      <c r="W42" s="1572">
        <f t="shared" si="14"/>
        <v>100</v>
      </c>
      <c r="X42" s="1565"/>
      <c r="Y42" s="3651"/>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651"/>
      <c r="Q43" s="1570" t="str">
        <f t="shared" si="11"/>
        <v>内部装修维护情况</v>
      </c>
      <c r="R43" s="1571" t="s">
        <v>11</v>
      </c>
      <c r="S43" s="1572">
        <f t="shared" si="12"/>
        <v>100</v>
      </c>
      <c r="T43" s="1571" t="s">
        <v>11</v>
      </c>
      <c r="U43" s="1572">
        <f t="shared" si="13"/>
        <v>100</v>
      </c>
      <c r="V43" s="1571" t="s">
        <v>11</v>
      </c>
      <c r="W43" s="1572">
        <f t="shared" si="14"/>
        <v>100</v>
      </c>
      <c r="X43" s="1565"/>
      <c r="Y43" s="365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651"/>
      <c r="Q44" s="1148">
        <f t="shared" si="11"/>
        <v>111</v>
      </c>
      <c r="R44" s="1566" t="s">
        <v>11</v>
      </c>
      <c r="S44" s="1567">
        <f t="shared" si="12"/>
        <v>100</v>
      </c>
      <c r="T44" s="1566" t="s">
        <v>11</v>
      </c>
      <c r="U44" s="1567">
        <f t="shared" si="13"/>
        <v>100</v>
      </c>
      <c r="V44" s="1566" t="s">
        <v>11</v>
      </c>
      <c r="W44" s="1567">
        <f t="shared" si="14"/>
        <v>100</v>
      </c>
      <c r="X44" s="1568"/>
      <c r="Y44" s="365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651"/>
      <c r="Q45" s="1570">
        <f t="shared" si="11"/>
        <v>111</v>
      </c>
      <c r="R45" s="1571" t="s">
        <v>11</v>
      </c>
      <c r="S45" s="1572">
        <f t="shared" si="12"/>
        <v>100</v>
      </c>
      <c r="T45" s="1571" t="s">
        <v>11</v>
      </c>
      <c r="U45" s="1572">
        <f t="shared" si="13"/>
        <v>100</v>
      </c>
      <c r="V45" s="1571" t="s">
        <v>11</v>
      </c>
      <c r="W45" s="1572">
        <f t="shared" si="14"/>
        <v>100</v>
      </c>
      <c r="X45" s="1565"/>
      <c r="Y45" s="3651"/>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728"/>
      <c r="Q46" s="1570">
        <f t="shared" si="11"/>
        <v>111</v>
      </c>
      <c r="R46" s="1571" t="s">
        <v>10</v>
      </c>
      <c r="S46" s="1572">
        <f t="shared" si="12"/>
        <v>100</v>
      </c>
      <c r="T46" s="1571" t="s">
        <v>10</v>
      </c>
      <c r="U46" s="1572">
        <f t="shared" si="13"/>
        <v>100</v>
      </c>
      <c r="V46" s="1571" t="s">
        <v>10</v>
      </c>
      <c r="W46" s="1572">
        <f t="shared" si="14"/>
        <v>100</v>
      </c>
      <c r="X46" s="1565"/>
      <c r="Y46" s="3728"/>
      <c r="Z46" s="1573">
        <f t="shared" si="15"/>
        <v>111</v>
      </c>
      <c r="AA46" s="1574">
        <f t="shared" si="3"/>
        <v>1</v>
      </c>
      <c r="AB46" s="1574">
        <f t="shared" si="4"/>
        <v>1</v>
      </c>
      <c r="AC46" s="1574">
        <f t="shared" si="5"/>
        <v>1</v>
      </c>
    </row>
    <row r="47" spans="1:29" ht="15">
      <c r="A47" s="605" t="s">
        <v>736</v>
      </c>
      <c r="B47" s="885"/>
      <c r="C47" s="2648" t="s">
        <v>9</v>
      </c>
      <c r="D47" s="2649"/>
      <c r="E47" s="2650"/>
      <c r="F47" s="2651"/>
      <c r="G47" s="2652"/>
      <c r="H47" s="2653"/>
      <c r="I47" s="2650"/>
      <c r="J47" s="2653"/>
      <c r="K47" s="1604"/>
      <c r="L47" s="2143"/>
      <c r="M47" s="2144"/>
      <c r="N47" s="2133"/>
      <c r="O47" s="2144"/>
      <c r="P47" s="3614" t="str">
        <f>A47</f>
        <v>成交单价（元/平方米）</v>
      </c>
      <c r="Q47" s="3614"/>
      <c r="R47" s="3727">
        <f>E47</f>
        <v>0</v>
      </c>
      <c r="S47" s="3727"/>
      <c r="T47" s="3727">
        <f>G47</f>
        <v>0</v>
      </c>
      <c r="U47" s="3727"/>
      <c r="V47" s="3727">
        <f>I47</f>
        <v>0</v>
      </c>
      <c r="W47" s="372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05"/>
      <c r="L48" s="2143"/>
      <c r="M48" s="2144"/>
      <c r="N48" s="2144"/>
      <c r="O48" s="2144"/>
      <c r="P48" s="3614" t="str">
        <f>A48</f>
        <v>比较价格（元/平方米）</v>
      </c>
      <c r="Q48" s="3614"/>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06"/>
      <c r="L49" s="2143"/>
      <c r="M49" s="2144"/>
      <c r="N49" s="2144"/>
      <c r="O49" s="2144"/>
      <c r="P49" s="3611" t="str">
        <f>A49</f>
        <v>估价对象XX用房的比较价格（楼面单价，元/平方米）</v>
      </c>
      <c r="Q49" s="3612"/>
      <c r="R49" s="3726" t="e">
        <f>IF(F1="售价",ROUND(AVERAGE(R48:V48),0),ROUND(AVERAGE(R48:V48),1))</f>
        <v>#DIV/0!</v>
      </c>
      <c r="S49" s="3726"/>
      <c r="T49" s="3726"/>
      <c r="U49" s="3726"/>
      <c r="V49" s="3726"/>
      <c r="W49" s="372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3"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1895" t="s">
        <v>2260</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
        <v>746</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747</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750</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751</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2560</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754</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6"/>
      <c r="B120" s="671" t="s">
        <v>733</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9"/>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521</v>
      </c>
      <c r="B4" s="511"/>
      <c r="C4" s="3620" t="s">
        <v>522</v>
      </c>
      <c r="D4" s="3621"/>
      <c r="E4" s="3654" t="s">
        <v>523</v>
      </c>
      <c r="F4" s="3655"/>
      <c r="G4" s="3620" t="s">
        <v>524</v>
      </c>
      <c r="H4" s="3621"/>
      <c r="I4" s="3620" t="s">
        <v>525</v>
      </c>
      <c r="J4" s="3621"/>
      <c r="K4" s="512" t="s">
        <v>526</v>
      </c>
      <c r="L4" s="2132"/>
      <c r="M4" s="2133"/>
      <c r="N4" s="2133"/>
      <c r="O4" s="2133"/>
      <c r="P4" s="3622" t="s">
        <v>527</v>
      </c>
      <c r="Q4" s="3623"/>
      <c r="R4" s="3628" t="s">
        <v>523</v>
      </c>
      <c r="S4" s="3629"/>
      <c r="T4" s="3628" t="s">
        <v>524</v>
      </c>
      <c r="U4" s="3629"/>
      <c r="V4" s="3615" t="s">
        <v>525</v>
      </c>
      <c r="W4" s="3615"/>
      <c r="X4" s="1565"/>
      <c r="Y4" s="3628" t="s">
        <v>527</v>
      </c>
      <c r="Z4" s="3629"/>
      <c r="AA4" s="3617" t="s">
        <v>523</v>
      </c>
      <c r="AB4" s="3615" t="s">
        <v>524</v>
      </c>
      <c r="AC4" s="3617" t="s">
        <v>525</v>
      </c>
    </row>
    <row r="5" spans="1:29" ht="15">
      <c r="A5" s="513"/>
      <c r="B5" s="514"/>
      <c r="C5" s="3636" t="s">
        <v>2930</v>
      </c>
      <c r="D5" s="3637"/>
      <c r="E5" s="3656" t="s">
        <v>2931</v>
      </c>
      <c r="F5" s="3657"/>
      <c r="G5" s="3636" t="s">
        <v>2932</v>
      </c>
      <c r="H5" s="3637"/>
      <c r="I5" s="3636" t="s">
        <v>2933</v>
      </c>
      <c r="J5" s="3637"/>
      <c r="K5" s="512"/>
      <c r="L5" s="2132"/>
      <c r="M5" s="2133"/>
      <c r="N5" s="2133"/>
      <c r="O5" s="2133"/>
      <c r="P5" s="3624"/>
      <c r="Q5" s="3625"/>
      <c r="R5" s="3630"/>
      <c r="S5" s="3631"/>
      <c r="T5" s="3630"/>
      <c r="U5" s="3631"/>
      <c r="V5" s="3615"/>
      <c r="W5" s="3615"/>
      <c r="X5" s="1565"/>
      <c r="Y5" s="3630"/>
      <c r="Z5" s="3631"/>
      <c r="AA5" s="3618"/>
      <c r="AB5" s="3615"/>
      <c r="AC5" s="3618"/>
    </row>
    <row r="6" spans="1:29" ht="15.75" thickBot="1">
      <c r="A6" s="515"/>
      <c r="B6" s="516"/>
      <c r="C6" s="3634" t="s">
        <v>2934</v>
      </c>
      <c r="D6" s="3635"/>
      <c r="E6" s="3652" t="s">
        <v>2934</v>
      </c>
      <c r="F6" s="3653"/>
      <c r="G6" s="3634" t="s">
        <v>2934</v>
      </c>
      <c r="H6" s="3635"/>
      <c r="I6" s="3634" t="s">
        <v>2934</v>
      </c>
      <c r="J6" s="3635"/>
      <c r="K6" s="512" t="s">
        <v>528</v>
      </c>
      <c r="L6" s="2132"/>
      <c r="M6" s="2133"/>
      <c r="N6" s="2133"/>
      <c r="O6" s="2133"/>
      <c r="P6" s="3626"/>
      <c r="Q6" s="3627"/>
      <c r="R6" s="3630"/>
      <c r="S6" s="3631"/>
      <c r="T6" s="3632"/>
      <c r="U6" s="3633"/>
      <c r="V6" s="3615"/>
      <c r="W6" s="3615"/>
      <c r="X6" s="1565"/>
      <c r="Y6" s="3632"/>
      <c r="Z6" s="3633"/>
      <c r="AA6" s="3619"/>
      <c r="AB6" s="3615"/>
      <c r="AC6" s="3619"/>
    </row>
    <row r="7" spans="1:29" s="1217" customFormat="1" ht="15.75" thickBot="1">
      <c r="A7" s="2931"/>
      <c r="B7" s="2938" t="s">
        <v>529</v>
      </c>
      <c r="C7" s="517">
        <f>'数据-取费表'!B2</f>
        <v>43382</v>
      </c>
      <c r="D7" s="518">
        <v>100</v>
      </c>
      <c r="E7" s="519"/>
      <c r="F7" s="520">
        <f>SUMIF(58:58,YEAR(E7)&amp;"-"&amp;MONTH(E7),59:59)</f>
        <v>0</v>
      </c>
      <c r="G7" s="519"/>
      <c r="H7" s="518">
        <f>SUMIF(58:58,YEAR(G7)&amp;"-"&amp;MONTH(G7),59:59)</f>
        <v>0</v>
      </c>
      <c r="I7" s="519"/>
      <c r="J7" s="518">
        <f>SUMIF(58:58,YEAR(I7)&amp;"-"&amp;MONTH(I7),59:59)</f>
        <v>0</v>
      </c>
      <c r="K7" s="522"/>
      <c r="L7" s="2134"/>
      <c r="M7" s="2135"/>
      <c r="N7" s="2135"/>
      <c r="O7" s="2135"/>
      <c r="P7" s="3645" t="s">
        <v>530</v>
      </c>
      <c r="Q7" s="3647"/>
      <c r="R7" s="1566" t="s">
        <v>8</v>
      </c>
      <c r="S7" s="1567">
        <f t="shared" ref="S7:S15" si="0">F7</f>
        <v>0</v>
      </c>
      <c r="T7" s="1566" t="s">
        <v>8</v>
      </c>
      <c r="U7" s="1567">
        <f t="shared" ref="U7:U15" si="1">H7</f>
        <v>0</v>
      </c>
      <c r="V7" s="1566" t="s">
        <v>8</v>
      </c>
      <c r="W7" s="1567">
        <f t="shared" ref="W7:W15" si="2">J7</f>
        <v>0</v>
      </c>
      <c r="X7" s="1568"/>
      <c r="Y7" s="3645" t="s">
        <v>530</v>
      </c>
      <c r="Z7" s="3646"/>
      <c r="AA7" s="1569" t="e">
        <f>D7/F7</f>
        <v>#DIV/0!</v>
      </c>
      <c r="AB7" s="1569" t="e">
        <f>D7/H7</f>
        <v>#DIV/0!</v>
      </c>
      <c r="AC7" s="1569" t="e">
        <f>D7/J7</f>
        <v>#DIV/0!</v>
      </c>
    </row>
    <row r="8" spans="1:29" s="1217" customFormat="1" ht="15.75" thickBot="1">
      <c r="A8" s="2932"/>
      <c r="B8" s="2939" t="s">
        <v>531</v>
      </c>
      <c r="C8" s="523" t="s">
        <v>576</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645" t="s">
        <v>533</v>
      </c>
      <c r="Q8" s="3646"/>
      <c r="R8" s="1566" t="s">
        <v>8</v>
      </c>
      <c r="S8" s="1567">
        <f t="shared" si="0"/>
        <v>0</v>
      </c>
      <c r="T8" s="1566" t="s">
        <v>8</v>
      </c>
      <c r="U8" s="1567">
        <f t="shared" si="1"/>
        <v>0</v>
      </c>
      <c r="V8" s="1566" t="s">
        <v>8</v>
      </c>
      <c r="W8" s="1567">
        <f t="shared" si="2"/>
        <v>0</v>
      </c>
      <c r="X8" s="1568"/>
      <c r="Y8" s="3645" t="s">
        <v>533</v>
      </c>
      <c r="Z8" s="364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614" t="s">
        <v>535</v>
      </c>
      <c r="Q9" s="1148" t="str">
        <f t="shared" ref="Q9:Q15" si="6">B9</f>
        <v>用途</v>
      </c>
      <c r="R9" s="1566" t="s">
        <v>8</v>
      </c>
      <c r="S9" s="1567">
        <f t="shared" si="0"/>
        <v>100</v>
      </c>
      <c r="T9" s="1566" t="s">
        <v>8</v>
      </c>
      <c r="U9" s="1567">
        <f t="shared" si="1"/>
        <v>100</v>
      </c>
      <c r="V9" s="1566" t="s">
        <v>8</v>
      </c>
      <c r="W9" s="1567">
        <f t="shared" si="2"/>
        <v>100</v>
      </c>
      <c r="X9" s="1568"/>
      <c r="Y9" s="3448"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614"/>
      <c r="Q10" s="1148" t="str">
        <f t="shared" si="6"/>
        <v>土地使用年限（年）</v>
      </c>
      <c r="R10" s="1566" t="s">
        <v>8</v>
      </c>
      <c r="S10" s="1567">
        <f t="shared" si="0"/>
        <v>100</v>
      </c>
      <c r="T10" s="1566" t="s">
        <v>8</v>
      </c>
      <c r="U10" s="1567">
        <f t="shared" si="1"/>
        <v>100</v>
      </c>
      <c r="V10" s="1566" t="s">
        <v>8</v>
      </c>
      <c r="W10" s="1567">
        <f t="shared" si="2"/>
        <v>100</v>
      </c>
      <c r="X10" s="1568"/>
      <c r="Y10" s="3448"/>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614"/>
      <c r="Q11" s="1148" t="str">
        <f t="shared" si="6"/>
        <v>容积率</v>
      </c>
      <c r="R11" s="1566" t="s">
        <v>8</v>
      </c>
      <c r="S11" s="1567" t="e">
        <f t="shared" si="0"/>
        <v>#N/A</v>
      </c>
      <c r="T11" s="1566" t="s">
        <v>8</v>
      </c>
      <c r="U11" s="1567" t="e">
        <f t="shared" si="1"/>
        <v>#N/A</v>
      </c>
      <c r="V11" s="1566" t="s">
        <v>8</v>
      </c>
      <c r="W11" s="1567" t="e">
        <f t="shared" si="2"/>
        <v>#N/A</v>
      </c>
      <c r="X11" s="1568"/>
      <c r="Y11" s="3448"/>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614"/>
      <c r="Q12" s="1148">
        <f t="shared" si="6"/>
        <v>111</v>
      </c>
      <c r="R12" s="1566" t="s">
        <v>8</v>
      </c>
      <c r="S12" s="1567">
        <f t="shared" si="0"/>
        <v>100</v>
      </c>
      <c r="T12" s="1566" t="s">
        <v>8</v>
      </c>
      <c r="U12" s="1567">
        <f t="shared" si="1"/>
        <v>100</v>
      </c>
      <c r="V12" s="1566" t="s">
        <v>8</v>
      </c>
      <c r="W12" s="1567">
        <f t="shared" si="2"/>
        <v>100</v>
      </c>
      <c r="X12" s="1568"/>
      <c r="Y12" s="3448"/>
      <c r="Z12" s="1147">
        <f t="shared" si="7"/>
        <v>111</v>
      </c>
      <c r="AA12" s="1569">
        <f>D12/F12</f>
        <v>1</v>
      </c>
      <c r="AB12" s="1569">
        <f>D12/H12</f>
        <v>1</v>
      </c>
      <c r="AC12" s="1569">
        <f>D12/J12</f>
        <v>1</v>
      </c>
    </row>
    <row r="13" spans="1:29" ht="15">
      <c r="A13" s="2936"/>
      <c r="B13" s="294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614"/>
      <c r="Q13" s="1148">
        <f t="shared" si="6"/>
        <v>111</v>
      </c>
      <c r="R13" s="1566" t="s">
        <v>8</v>
      </c>
      <c r="S13" s="1567">
        <f t="shared" si="0"/>
        <v>100</v>
      </c>
      <c r="T13" s="1566" t="s">
        <v>8</v>
      </c>
      <c r="U13" s="1567">
        <f t="shared" si="1"/>
        <v>100</v>
      </c>
      <c r="V13" s="1566" t="s">
        <v>8</v>
      </c>
      <c r="W13" s="1567">
        <f t="shared" si="2"/>
        <v>100</v>
      </c>
      <c r="X13" s="1568"/>
      <c r="Y13" s="3448"/>
      <c r="Z13" s="1147">
        <f t="shared" si="7"/>
        <v>111</v>
      </c>
      <c r="AA13" s="1569">
        <f t="shared" si="3"/>
        <v>1</v>
      </c>
      <c r="AB13" s="1569">
        <f t="shared" si="4"/>
        <v>1</v>
      </c>
      <c r="AC13" s="1569">
        <f t="shared" si="5"/>
        <v>1</v>
      </c>
    </row>
    <row r="14" spans="1:29" ht="15.75" thickBot="1">
      <c r="A14" s="2937"/>
      <c r="B14" s="294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614"/>
      <c r="Q14" s="1148">
        <f t="shared" si="6"/>
        <v>111</v>
      </c>
      <c r="R14" s="1566" t="s">
        <v>8</v>
      </c>
      <c r="S14" s="1567">
        <f t="shared" si="0"/>
        <v>100</v>
      </c>
      <c r="T14" s="1566" t="s">
        <v>8</v>
      </c>
      <c r="U14" s="1567">
        <f t="shared" si="1"/>
        <v>100</v>
      </c>
      <c r="V14" s="1566" t="s">
        <v>8</v>
      </c>
      <c r="W14" s="1567">
        <f t="shared" si="2"/>
        <v>100</v>
      </c>
      <c r="X14" s="1568"/>
      <c r="Y14" s="3448"/>
      <c r="Z14" s="1147">
        <f t="shared" si="7"/>
        <v>111</v>
      </c>
      <c r="AA14" s="1569">
        <f t="shared" si="3"/>
        <v>1</v>
      </c>
      <c r="AB14" s="1569">
        <f t="shared" si="4"/>
        <v>1</v>
      </c>
      <c r="AC14" s="1569">
        <f t="shared" si="5"/>
        <v>1</v>
      </c>
    </row>
    <row r="15" spans="1:29" ht="71.25">
      <c r="A15" s="2929"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648" t="s">
        <v>540</v>
      </c>
      <c r="Q15" s="1570" t="str">
        <f t="shared" si="6"/>
        <v>商业繁华度</v>
      </c>
      <c r="R15" s="1571" t="s">
        <v>8</v>
      </c>
      <c r="S15" s="1572">
        <f t="shared" si="0"/>
        <v>100</v>
      </c>
      <c r="T15" s="1571" t="s">
        <v>8</v>
      </c>
      <c r="U15" s="1572">
        <f t="shared" si="1"/>
        <v>100</v>
      </c>
      <c r="V15" s="1571" t="s">
        <v>8</v>
      </c>
      <c r="W15" s="1572">
        <f t="shared" si="2"/>
        <v>100</v>
      </c>
      <c r="X15" s="1565"/>
      <c r="Y15" s="3648"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649"/>
      <c r="Q16" s="1570"/>
      <c r="R16" s="1571"/>
      <c r="S16" s="1572"/>
      <c r="T16" s="1571"/>
      <c r="U16" s="1572"/>
      <c r="V16" s="1571"/>
      <c r="W16" s="1572"/>
      <c r="X16" s="1565"/>
      <c r="Y16" s="3649"/>
      <c r="Z16" s="1573"/>
      <c r="AA16" s="1574">
        <v>1</v>
      </c>
      <c r="AB16" s="1574">
        <v>1</v>
      </c>
      <c r="AC16" s="1574">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649"/>
      <c r="Q17" s="1570" t="str">
        <f>B17</f>
        <v>交通便捷度</v>
      </c>
      <c r="R17" s="1571" t="s">
        <v>8</v>
      </c>
      <c r="S17" s="1572">
        <f>F17</f>
        <v>100</v>
      </c>
      <c r="T17" s="1571" t="s">
        <v>8</v>
      </c>
      <c r="U17" s="1572">
        <f>H17</f>
        <v>100</v>
      </c>
      <c r="V17" s="1571" t="s">
        <v>8</v>
      </c>
      <c r="W17" s="1572">
        <f>J17</f>
        <v>100</v>
      </c>
      <c r="X17" s="1565"/>
      <c r="Y17" s="364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649"/>
      <c r="Q18" s="1570"/>
      <c r="R18" s="1571"/>
      <c r="S18" s="1572"/>
      <c r="T18" s="1571"/>
      <c r="U18" s="1572"/>
      <c r="V18" s="1571"/>
      <c r="W18" s="1572"/>
      <c r="X18" s="1565"/>
      <c r="Y18" s="364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649"/>
      <c r="Q19" s="1570" t="str">
        <f>B19</f>
        <v>公共配套设施</v>
      </c>
      <c r="R19" s="1571" t="s">
        <v>8</v>
      </c>
      <c r="S19" s="1572">
        <f>F19</f>
        <v>100</v>
      </c>
      <c r="T19" s="1571" t="s">
        <v>8</v>
      </c>
      <c r="U19" s="1572">
        <f>H19</f>
        <v>100</v>
      </c>
      <c r="V19" s="1571" t="s">
        <v>8</v>
      </c>
      <c r="W19" s="1572">
        <f>J19</f>
        <v>100</v>
      </c>
      <c r="X19" s="1565"/>
      <c r="Y19" s="364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649"/>
      <c r="Q20" s="1570"/>
      <c r="R20" s="1571"/>
      <c r="S20" s="1572"/>
      <c r="T20" s="1571"/>
      <c r="U20" s="1572"/>
      <c r="V20" s="1571"/>
      <c r="W20" s="1572"/>
      <c r="X20" s="1565"/>
      <c r="Y20" s="364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649"/>
      <c r="Q21" s="2600" t="str">
        <f>B21</f>
        <v>基础设施水平</v>
      </c>
      <c r="R21" s="1571" t="s">
        <v>8</v>
      </c>
      <c r="S21" s="1572">
        <f>F21</f>
        <v>100</v>
      </c>
      <c r="T21" s="1571" t="s">
        <v>8</v>
      </c>
      <c r="U21" s="1572">
        <f>H21</f>
        <v>100</v>
      </c>
      <c r="V21" s="1571" t="s">
        <v>8</v>
      </c>
      <c r="W21" s="1572">
        <f>J21</f>
        <v>100</v>
      </c>
      <c r="X21" s="2602"/>
      <c r="Y21" s="364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41"/>
      <c r="M22" s="2133"/>
      <c r="N22" s="2133"/>
      <c r="O22" s="2140"/>
      <c r="P22" s="3649"/>
      <c r="Q22" s="2600"/>
      <c r="R22" s="1571"/>
      <c r="S22" s="1572"/>
      <c r="T22" s="1571"/>
      <c r="U22" s="1572"/>
      <c r="V22" s="1571"/>
      <c r="W22" s="1572"/>
      <c r="X22" s="2602"/>
      <c r="Y22" s="3649"/>
      <c r="Z22" s="2601"/>
      <c r="AA22" s="1574">
        <v>1</v>
      </c>
      <c r="AB22" s="1574">
        <v>1</v>
      </c>
      <c r="AC22" s="1574">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649"/>
      <c r="Q23" s="1570" t="str">
        <f>B23</f>
        <v>自然及人文环境</v>
      </c>
      <c r="R23" s="1571" t="s">
        <v>8</v>
      </c>
      <c r="S23" s="1572">
        <f>F23</f>
        <v>100</v>
      </c>
      <c r="T23" s="1571" t="s">
        <v>8</v>
      </c>
      <c r="U23" s="1572">
        <f>H23</f>
        <v>100</v>
      </c>
      <c r="V23" s="1571" t="s">
        <v>8</v>
      </c>
      <c r="W23" s="1572">
        <f>J23</f>
        <v>100</v>
      </c>
      <c r="X23" s="1565"/>
      <c r="Y23" s="364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649"/>
      <c r="Q24" s="1570"/>
      <c r="R24" s="1571"/>
      <c r="S24" s="1572"/>
      <c r="T24" s="1571"/>
      <c r="U24" s="1572"/>
      <c r="V24" s="1571"/>
      <c r="W24" s="1572"/>
      <c r="X24" s="1565"/>
      <c r="Y24" s="3649"/>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649"/>
      <c r="Q25" s="1570" t="str">
        <f t="shared" ref="Q25:Q46" si="11">B25</f>
        <v>临街状况</v>
      </c>
      <c r="R25" s="1571" t="s">
        <v>8</v>
      </c>
      <c r="S25" s="1572">
        <f>F25</f>
        <v>100</v>
      </c>
      <c r="T25" s="1571" t="s">
        <v>8</v>
      </c>
      <c r="U25" s="1572">
        <f>H25</f>
        <v>100</v>
      </c>
      <c r="V25" s="1571" t="s">
        <v>8</v>
      </c>
      <c r="W25" s="1572">
        <f>J25</f>
        <v>100</v>
      </c>
      <c r="X25" s="1565"/>
      <c r="Y25" s="3649"/>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649"/>
      <c r="Q26" s="1570" t="str">
        <f t="shared" si="11"/>
        <v>平面位置/可视性</v>
      </c>
      <c r="R26" s="1571" t="s">
        <v>8</v>
      </c>
      <c r="S26" s="1572">
        <f>F26</f>
        <v>100</v>
      </c>
      <c r="T26" s="1571" t="s">
        <v>8</v>
      </c>
      <c r="U26" s="1572">
        <f>H26</f>
        <v>100</v>
      </c>
      <c r="V26" s="1571" t="s">
        <v>8</v>
      </c>
      <c r="W26" s="1572">
        <f>J26</f>
        <v>100</v>
      </c>
      <c r="X26" s="1565"/>
      <c r="Y26" s="3649"/>
      <c r="Z26" s="1573" t="str">
        <f>Q26</f>
        <v>平面位置/可视性</v>
      </c>
      <c r="AA26" s="1574">
        <f t="shared" si="3"/>
        <v>1</v>
      </c>
      <c r="AB26" s="1574">
        <f t="shared" si="4"/>
        <v>1</v>
      </c>
      <c r="AC26" s="1574">
        <f t="shared" si="5"/>
        <v>1</v>
      </c>
    </row>
    <row r="27" spans="1:29" s="1217"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649"/>
      <c r="Q27" s="1148" t="str">
        <f t="shared" si="11"/>
        <v>人流量</v>
      </c>
      <c r="R27" s="1566" t="s">
        <v>8</v>
      </c>
      <c r="S27" s="1567">
        <f>F27</f>
        <v>100</v>
      </c>
      <c r="T27" s="1566" t="s">
        <v>8</v>
      </c>
      <c r="U27" s="1567">
        <f>H27</f>
        <v>100</v>
      </c>
      <c r="V27" s="1566" t="s">
        <v>8</v>
      </c>
      <c r="W27" s="1567">
        <f>J27</f>
        <v>100</v>
      </c>
      <c r="X27" s="1568"/>
      <c r="Y27" s="3649"/>
      <c r="Z27" s="1147"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64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64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649"/>
      <c r="Q29" s="1570">
        <f t="shared" si="11"/>
        <v>111</v>
      </c>
      <c r="R29" s="1571" t="s">
        <v>8</v>
      </c>
      <c r="S29" s="1572">
        <f t="shared" si="12"/>
        <v>100</v>
      </c>
      <c r="T29" s="1571" t="s">
        <v>8</v>
      </c>
      <c r="U29" s="1572">
        <f t="shared" si="13"/>
        <v>100</v>
      </c>
      <c r="V29" s="1571" t="s">
        <v>8</v>
      </c>
      <c r="W29" s="1572">
        <f t="shared" si="14"/>
        <v>100</v>
      </c>
      <c r="X29" s="1565"/>
      <c r="Y29" s="364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649"/>
      <c r="Q30" s="1570">
        <f t="shared" si="11"/>
        <v>111</v>
      </c>
      <c r="R30" s="1571" t="s">
        <v>8</v>
      </c>
      <c r="S30" s="1572">
        <f t="shared" si="12"/>
        <v>100</v>
      </c>
      <c r="T30" s="1571" t="s">
        <v>8</v>
      </c>
      <c r="U30" s="1572">
        <f t="shared" si="13"/>
        <v>100</v>
      </c>
      <c r="V30" s="1571" t="s">
        <v>8</v>
      </c>
      <c r="W30" s="1572">
        <f t="shared" si="14"/>
        <v>100</v>
      </c>
      <c r="X30" s="1565"/>
      <c r="Y30" s="364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649"/>
      <c r="Q31" s="1570">
        <f t="shared" si="11"/>
        <v>111</v>
      </c>
      <c r="R31" s="1571" t="s">
        <v>8</v>
      </c>
      <c r="S31" s="1572">
        <f t="shared" si="12"/>
        <v>100</v>
      </c>
      <c r="T31" s="1571" t="s">
        <v>8</v>
      </c>
      <c r="U31" s="1572">
        <f t="shared" si="13"/>
        <v>100</v>
      </c>
      <c r="V31" s="1571" t="s">
        <v>8</v>
      </c>
      <c r="W31" s="1572">
        <f t="shared" si="14"/>
        <v>100</v>
      </c>
      <c r="X31" s="1565"/>
      <c r="Y31" s="3649"/>
      <c r="Z31" s="1573">
        <f t="shared" si="15"/>
        <v>111</v>
      </c>
      <c r="AA31" s="1574">
        <f t="shared" si="3"/>
        <v>1</v>
      </c>
      <c r="AB31" s="1574">
        <f t="shared" si="4"/>
        <v>1</v>
      </c>
      <c r="AC31" s="1574">
        <f t="shared" si="5"/>
        <v>1</v>
      </c>
    </row>
    <row r="32" spans="1:29" ht="15">
      <c r="A32" s="2926"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650" t="s">
        <v>550</v>
      </c>
      <c r="Q32" s="1570" t="str">
        <f t="shared" si="11"/>
        <v>商业类型</v>
      </c>
      <c r="R32" s="1571" t="s">
        <v>8</v>
      </c>
      <c r="S32" s="1572">
        <f t="shared" si="12"/>
        <v>100</v>
      </c>
      <c r="T32" s="1571" t="s">
        <v>8</v>
      </c>
      <c r="U32" s="1572">
        <f t="shared" si="13"/>
        <v>100</v>
      </c>
      <c r="V32" s="1571" t="s">
        <v>8</v>
      </c>
      <c r="W32" s="1572">
        <f t="shared" si="14"/>
        <v>100</v>
      </c>
      <c r="X32" s="1565"/>
      <c r="Y32" s="3651" t="s">
        <v>550</v>
      </c>
      <c r="Z32" s="1573" t="str">
        <f t="shared" si="15"/>
        <v>商业类型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651"/>
      <c r="Q33" s="1603" t="str">
        <f t="shared" si="11"/>
        <v>项目建筑规模</v>
      </c>
      <c r="R33" s="1575" t="s">
        <v>8</v>
      </c>
      <c r="S33" s="1576" t="e">
        <f t="shared" si="12"/>
        <v>#N/A</v>
      </c>
      <c r="T33" s="1575" t="s">
        <v>8</v>
      </c>
      <c r="U33" s="1576" t="e">
        <f t="shared" si="13"/>
        <v>#N/A</v>
      </c>
      <c r="V33" s="1575" t="s">
        <v>8</v>
      </c>
      <c r="W33" s="1576" t="e">
        <f t="shared" si="14"/>
        <v>#N/A</v>
      </c>
      <c r="X33" s="1577"/>
      <c r="Y33" s="365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651"/>
      <c r="Q34" s="1570" t="str">
        <f t="shared" si="11"/>
        <v>建筑结构</v>
      </c>
      <c r="R34" s="1571" t="s">
        <v>8</v>
      </c>
      <c r="S34" s="1572">
        <f t="shared" si="12"/>
        <v>100</v>
      </c>
      <c r="T34" s="1571" t="s">
        <v>8</v>
      </c>
      <c r="U34" s="1572">
        <f t="shared" si="13"/>
        <v>100</v>
      </c>
      <c r="V34" s="1571" t="s">
        <v>8</v>
      </c>
      <c r="W34" s="1572">
        <f t="shared" si="14"/>
        <v>100</v>
      </c>
      <c r="X34" s="1565"/>
      <c r="Y34" s="3651"/>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651"/>
      <c r="Q35" s="1570" t="str">
        <f t="shared" si="11"/>
        <v>公共部分装修</v>
      </c>
      <c r="R35" s="1571" t="s">
        <v>8</v>
      </c>
      <c r="S35" s="1572">
        <f t="shared" si="12"/>
        <v>100</v>
      </c>
      <c r="T35" s="1571" t="s">
        <v>8</v>
      </c>
      <c r="U35" s="1572">
        <f t="shared" si="13"/>
        <v>100</v>
      </c>
      <c r="V35" s="1571" t="s">
        <v>8</v>
      </c>
      <c r="W35" s="1572">
        <f t="shared" si="14"/>
        <v>100</v>
      </c>
      <c r="X35" s="1565"/>
      <c r="Y35" s="3651"/>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651"/>
      <c r="Q36" s="1570" t="str">
        <f t="shared" si="11"/>
        <v>成新度</v>
      </c>
      <c r="R36" s="1571" t="s">
        <v>8</v>
      </c>
      <c r="S36" s="1572" t="e">
        <f t="shared" si="12"/>
        <v>#N/A</v>
      </c>
      <c r="T36" s="1571" t="s">
        <v>8</v>
      </c>
      <c r="U36" s="1572" t="e">
        <f t="shared" si="13"/>
        <v>#N/A</v>
      </c>
      <c r="V36" s="1571" t="s">
        <v>8</v>
      </c>
      <c r="W36" s="1572" t="e">
        <f t="shared" si="14"/>
        <v>#N/A</v>
      </c>
      <c r="X36" s="1565"/>
      <c r="Y36" s="3651"/>
      <c r="Z36" s="1573" t="str">
        <f t="shared" si="15"/>
        <v>成新度</v>
      </c>
      <c r="AA36" s="1574" t="e">
        <f t="shared" si="3"/>
        <v>#N/A</v>
      </c>
      <c r="AB36" s="1574" t="e">
        <f t="shared" si="4"/>
        <v>#N/A</v>
      </c>
      <c r="AC36" s="1574" t="e">
        <f t="shared" si="5"/>
        <v>#N/A</v>
      </c>
    </row>
    <row r="37" spans="1:29" s="1217" customFormat="1" ht="15">
      <c r="A37" s="598"/>
      <c r="B37" s="1894"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651"/>
      <c r="Q37" s="1148" t="str">
        <f t="shared" si="11"/>
        <v>市政基础设施</v>
      </c>
      <c r="R37" s="1566" t="s">
        <v>8</v>
      </c>
      <c r="S37" s="1567">
        <f t="shared" si="12"/>
        <v>100</v>
      </c>
      <c r="T37" s="1566" t="s">
        <v>8</v>
      </c>
      <c r="U37" s="1567">
        <f t="shared" si="13"/>
        <v>100</v>
      </c>
      <c r="V37" s="1566" t="s">
        <v>8</v>
      </c>
      <c r="W37" s="1567">
        <f t="shared" si="14"/>
        <v>100</v>
      </c>
      <c r="X37" s="1568"/>
      <c r="Y37" s="3651"/>
      <c r="Z37" s="1147"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651" t="s">
        <v>766</v>
      </c>
      <c r="Q38" s="1570" t="str">
        <f t="shared" si="11"/>
        <v>业态</v>
      </c>
      <c r="R38" s="1571" t="s">
        <v>8</v>
      </c>
      <c r="S38" s="1572">
        <f t="shared" si="12"/>
        <v>100</v>
      </c>
      <c r="T38" s="1571" t="s">
        <v>8</v>
      </c>
      <c r="U38" s="1572">
        <f t="shared" si="13"/>
        <v>100</v>
      </c>
      <c r="V38" s="1571" t="s">
        <v>8</v>
      </c>
      <c r="W38" s="1572">
        <f t="shared" si="14"/>
        <v>100</v>
      </c>
      <c r="X38" s="1565"/>
      <c r="Y38" s="3651"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651"/>
      <c r="Q39" s="1570" t="str">
        <f t="shared" si="11"/>
        <v>层高</v>
      </c>
      <c r="R39" s="1571" t="s">
        <v>8</v>
      </c>
      <c r="S39" s="1572">
        <f t="shared" si="12"/>
        <v>100</v>
      </c>
      <c r="T39" s="1571" t="s">
        <v>8</v>
      </c>
      <c r="U39" s="1572">
        <f t="shared" si="13"/>
        <v>100</v>
      </c>
      <c r="V39" s="1571" t="s">
        <v>8</v>
      </c>
      <c r="W39" s="1572">
        <f t="shared" si="14"/>
        <v>100</v>
      </c>
      <c r="X39" s="1565"/>
      <c r="Y39" s="3651"/>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651"/>
      <c r="Q40" s="1570" t="str">
        <f t="shared" si="11"/>
        <v>单套建筑面积</v>
      </c>
      <c r="R40" s="1571" t="s">
        <v>8</v>
      </c>
      <c r="S40" s="1572">
        <f t="shared" si="12"/>
        <v>100</v>
      </c>
      <c r="T40" s="1571" t="s">
        <v>8</v>
      </c>
      <c r="U40" s="1572">
        <f t="shared" si="13"/>
        <v>100</v>
      </c>
      <c r="V40" s="1571" t="s">
        <v>8</v>
      </c>
      <c r="W40" s="1572">
        <f t="shared" si="14"/>
        <v>100</v>
      </c>
      <c r="X40" s="1565"/>
      <c r="Y40" s="3651"/>
      <c r="Z40" s="1573" t="str">
        <f t="shared" si="15"/>
        <v>单套建筑面积</v>
      </c>
      <c r="AA40" s="1574">
        <f t="shared" si="3"/>
        <v>1</v>
      </c>
      <c r="AB40" s="1574">
        <f t="shared" si="4"/>
        <v>1</v>
      </c>
      <c r="AC40" s="1574">
        <f t="shared" si="5"/>
        <v>1</v>
      </c>
    </row>
    <row r="41" spans="1:29" s="1336"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651"/>
      <c r="Q41" s="1603" t="str">
        <f t="shared" si="11"/>
        <v>进深比</v>
      </c>
      <c r="R41" s="1575" t="s">
        <v>8</v>
      </c>
      <c r="S41" s="1576">
        <f t="shared" si="12"/>
        <v>100</v>
      </c>
      <c r="T41" s="1575" t="s">
        <v>8</v>
      </c>
      <c r="U41" s="1576">
        <f t="shared" si="13"/>
        <v>100</v>
      </c>
      <c r="V41" s="1575" t="s">
        <v>8</v>
      </c>
      <c r="W41" s="1576">
        <f t="shared" si="14"/>
        <v>100</v>
      </c>
      <c r="X41" s="1577"/>
      <c r="Y41" s="3651"/>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651"/>
      <c r="Q42" s="1570" t="str">
        <f t="shared" si="11"/>
        <v>内部装修</v>
      </c>
      <c r="R42" s="1571" t="s">
        <v>8</v>
      </c>
      <c r="S42" s="1572">
        <f t="shared" si="12"/>
        <v>100</v>
      </c>
      <c r="T42" s="1571" t="s">
        <v>8</v>
      </c>
      <c r="U42" s="1572">
        <f t="shared" si="13"/>
        <v>100</v>
      </c>
      <c r="V42" s="1571" t="s">
        <v>8</v>
      </c>
      <c r="W42" s="1572">
        <f t="shared" si="14"/>
        <v>100</v>
      </c>
      <c r="X42" s="1565"/>
      <c r="Y42" s="3651"/>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651"/>
      <c r="Q43" s="1570" t="str">
        <f t="shared" si="11"/>
        <v>内部装修维护情况</v>
      </c>
      <c r="R43" s="1571" t="s">
        <v>8</v>
      </c>
      <c r="S43" s="1572">
        <f t="shared" si="12"/>
        <v>100</v>
      </c>
      <c r="T43" s="1571" t="s">
        <v>8</v>
      </c>
      <c r="U43" s="1572">
        <f t="shared" si="13"/>
        <v>100</v>
      </c>
      <c r="V43" s="1571" t="s">
        <v>8</v>
      </c>
      <c r="W43" s="1572">
        <f t="shared" si="14"/>
        <v>100</v>
      </c>
      <c r="X43" s="1565"/>
      <c r="Y43" s="365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651"/>
      <c r="Q44" s="1148">
        <f t="shared" si="11"/>
        <v>111</v>
      </c>
      <c r="R44" s="1566" t="s">
        <v>8</v>
      </c>
      <c r="S44" s="1567">
        <f t="shared" si="12"/>
        <v>100</v>
      </c>
      <c r="T44" s="1566" t="s">
        <v>8</v>
      </c>
      <c r="U44" s="1567">
        <f t="shared" si="13"/>
        <v>100</v>
      </c>
      <c r="V44" s="1566" t="s">
        <v>8</v>
      </c>
      <c r="W44" s="1567">
        <f t="shared" si="14"/>
        <v>100</v>
      </c>
      <c r="X44" s="1568"/>
      <c r="Y44" s="365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651"/>
      <c r="Q45" s="1570">
        <f t="shared" si="11"/>
        <v>111</v>
      </c>
      <c r="R45" s="1571" t="s">
        <v>8</v>
      </c>
      <c r="S45" s="1572">
        <f t="shared" si="12"/>
        <v>100</v>
      </c>
      <c r="T45" s="1571" t="s">
        <v>8</v>
      </c>
      <c r="U45" s="1572">
        <f t="shared" si="13"/>
        <v>100</v>
      </c>
      <c r="V45" s="1571" t="s">
        <v>8</v>
      </c>
      <c r="W45" s="1572">
        <f t="shared" si="14"/>
        <v>100</v>
      </c>
      <c r="X45" s="1565"/>
      <c r="Y45" s="365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728"/>
      <c r="Q46" s="1570">
        <f t="shared" si="11"/>
        <v>111</v>
      </c>
      <c r="R46" s="1571" t="s">
        <v>8</v>
      </c>
      <c r="S46" s="1572">
        <f t="shared" si="12"/>
        <v>100</v>
      </c>
      <c r="T46" s="1571" t="s">
        <v>8</v>
      </c>
      <c r="U46" s="1572">
        <f t="shared" si="13"/>
        <v>100</v>
      </c>
      <c r="V46" s="1571" t="s">
        <v>8</v>
      </c>
      <c r="W46" s="1572">
        <f t="shared" si="14"/>
        <v>100</v>
      </c>
      <c r="X46" s="1565"/>
      <c r="Y46" s="3728"/>
      <c r="Z46" s="1573">
        <f t="shared" si="15"/>
        <v>111</v>
      </c>
      <c r="AA46" s="1574">
        <f t="shared" si="3"/>
        <v>1</v>
      </c>
      <c r="AB46" s="1574">
        <f t="shared" si="4"/>
        <v>1</v>
      </c>
      <c r="AC46" s="1574">
        <f t="shared" si="5"/>
        <v>1</v>
      </c>
    </row>
    <row r="47" spans="1:29" ht="15">
      <c r="A47" s="605" t="s">
        <v>736</v>
      </c>
      <c r="B47" s="885"/>
      <c r="C47" s="2648" t="s">
        <v>1</v>
      </c>
      <c r="D47" s="2649"/>
      <c r="E47" s="2650"/>
      <c r="F47" s="2651"/>
      <c r="G47" s="2652"/>
      <c r="H47" s="2653"/>
      <c r="I47" s="2650"/>
      <c r="J47" s="2653"/>
      <c r="K47" s="1609"/>
      <c r="L47" s="2143"/>
      <c r="M47" s="2144"/>
      <c r="N47" s="2133"/>
      <c r="O47" s="2144"/>
      <c r="P47" s="3614" t="str">
        <f>A47</f>
        <v>成交单价（元/平方米）</v>
      </c>
      <c r="Q47" s="3614"/>
      <c r="R47" s="3727">
        <f>E47</f>
        <v>0</v>
      </c>
      <c r="S47" s="3727"/>
      <c r="T47" s="3727">
        <f>G47</f>
        <v>0</v>
      </c>
      <c r="U47" s="3727"/>
      <c r="V47" s="3727">
        <f>I47</f>
        <v>0</v>
      </c>
      <c r="W47" s="372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10"/>
      <c r="L48" s="2143"/>
      <c r="M48" s="2144"/>
      <c r="N48" s="2133"/>
      <c r="O48" s="2144"/>
      <c r="P48" s="3614" t="str">
        <f>A48</f>
        <v>比较价格（元/平方米）</v>
      </c>
      <c r="Q48" s="3614"/>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11"/>
      <c r="L49" s="2143"/>
      <c r="M49" s="2144"/>
      <c r="N49" s="2133"/>
      <c r="O49" s="2144"/>
      <c r="P49" s="3611" t="str">
        <f>A49</f>
        <v>估价对象XX用房的比较价格（楼面单价，元/平方米）</v>
      </c>
      <c r="Q49" s="3612"/>
      <c r="R49" s="3726" t="e">
        <f>IF(F1="售价",ROUND(AVERAGE(R48:V48),0),ROUND(AVERAGE(R48:V48),1))</f>
        <v>#DIV/0!</v>
      </c>
      <c r="S49" s="3726"/>
      <c r="T49" s="3726"/>
      <c r="U49" s="3726"/>
      <c r="V49" s="3726"/>
      <c r="W49" s="372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1"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671" t="s">
        <v>771</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772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751</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6"/>
      <c r="B112" s="1895" t="s">
        <v>2560</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774</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775</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6"/>
      <c r="B120" s="671" t="s">
        <v>776</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1" zoomScale="80" zoomScaleNormal="80" workbookViewId="0">
      <selection activeCell="K36" sqref="K3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t="s">
        <v>1678</v>
      </c>
      <c r="E1" s="504"/>
      <c r="F1" s="2826" t="s">
        <v>3021</v>
      </c>
      <c r="G1" s="1599" t="s">
        <v>721</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1" t="s">
        <v>467</v>
      </c>
      <c r="B2" s="848">
        <f>ROUND(B3*D3/10000,0)</f>
        <v>65586</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7" t="s">
        <v>519</v>
      </c>
      <c r="B3" s="508">
        <f>C50</f>
        <v>65586</v>
      </c>
      <c r="C3" s="850" t="s">
        <v>722</v>
      </c>
      <c r="D3" s="849">
        <f>SUMIF('数据-汇总表'!$C19:$C33,D1,'数据-汇总表'!$E19:$E33)</f>
        <v>10000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521</v>
      </c>
      <c r="B4" s="511"/>
      <c r="C4" s="3620" t="s">
        <v>522</v>
      </c>
      <c r="D4" s="3621"/>
      <c r="E4" s="3654" t="s">
        <v>523</v>
      </c>
      <c r="F4" s="3655"/>
      <c r="G4" s="3620" t="s">
        <v>524</v>
      </c>
      <c r="H4" s="3621"/>
      <c r="I4" s="3620" t="s">
        <v>525</v>
      </c>
      <c r="J4" s="3621"/>
      <c r="K4" s="512" t="s">
        <v>526</v>
      </c>
      <c r="L4" s="2132"/>
      <c r="M4" s="2133"/>
      <c r="N4" s="2133"/>
      <c r="O4" s="2133"/>
      <c r="P4" s="3730" t="s">
        <v>527</v>
      </c>
      <c r="Q4" s="3623"/>
      <c r="R4" s="3628" t="s">
        <v>523</v>
      </c>
      <c r="S4" s="3629"/>
      <c r="T4" s="3628" t="s">
        <v>524</v>
      </c>
      <c r="U4" s="3629"/>
      <c r="V4" s="3615" t="s">
        <v>525</v>
      </c>
      <c r="W4" s="3615"/>
      <c r="X4" s="1565"/>
      <c r="Y4" s="3628" t="s">
        <v>527</v>
      </c>
      <c r="Z4" s="3629"/>
      <c r="AA4" s="3617" t="s">
        <v>523</v>
      </c>
      <c r="AB4" s="3617" t="s">
        <v>524</v>
      </c>
      <c r="AC4" s="3617" t="s">
        <v>525</v>
      </c>
    </row>
    <row r="5" spans="1:29" ht="15">
      <c r="A5" s="513"/>
      <c r="B5" s="514"/>
      <c r="C5" s="3636" t="s">
        <v>2930</v>
      </c>
      <c r="D5" s="3637"/>
      <c r="E5" s="3737" t="s">
        <v>3139</v>
      </c>
      <c r="F5" s="3657"/>
      <c r="G5" s="3733" t="s">
        <v>3131</v>
      </c>
      <c r="H5" s="3635"/>
      <c r="I5" s="3733" t="s">
        <v>3130</v>
      </c>
      <c r="J5" s="3635"/>
      <c r="K5" s="512"/>
      <c r="L5" s="2132"/>
      <c r="M5" s="2133"/>
      <c r="N5" s="2133"/>
      <c r="O5" s="2133"/>
      <c r="P5" s="3731"/>
      <c r="Q5" s="3625"/>
      <c r="R5" s="3630"/>
      <c r="S5" s="3631"/>
      <c r="T5" s="3630"/>
      <c r="U5" s="3631"/>
      <c r="V5" s="3615"/>
      <c r="W5" s="3615"/>
      <c r="X5" s="1565"/>
      <c r="Y5" s="3630"/>
      <c r="Z5" s="3631"/>
      <c r="AA5" s="3618"/>
      <c r="AB5" s="3618"/>
      <c r="AC5" s="3618"/>
    </row>
    <row r="6" spans="1:29" ht="15.75" customHeight="1" thickBot="1">
      <c r="A6" s="515"/>
      <c r="B6" s="516"/>
      <c r="C6" s="3734" t="s">
        <v>3087</v>
      </c>
      <c r="D6" s="3735"/>
      <c r="E6" s="3736" t="s">
        <v>3138</v>
      </c>
      <c r="F6" s="3653"/>
      <c r="G6" s="3733" t="s">
        <v>3140</v>
      </c>
      <c r="H6" s="3635"/>
      <c r="I6" s="3733" t="s">
        <v>3141</v>
      </c>
      <c r="J6" s="3635"/>
      <c r="K6" s="512" t="s">
        <v>528</v>
      </c>
      <c r="L6" s="2132"/>
      <c r="M6" s="2133"/>
      <c r="N6" s="2133"/>
      <c r="O6" s="2133"/>
      <c r="P6" s="3732"/>
      <c r="Q6" s="3627"/>
      <c r="R6" s="3630"/>
      <c r="S6" s="3631"/>
      <c r="T6" s="3632"/>
      <c r="U6" s="3633"/>
      <c r="V6" s="3615"/>
      <c r="W6" s="3615"/>
      <c r="X6" s="1565"/>
      <c r="Y6" s="3632"/>
      <c r="Z6" s="3633"/>
      <c r="AA6" s="3619"/>
      <c r="AB6" s="3619"/>
      <c r="AC6" s="3619"/>
    </row>
    <row r="7" spans="1:29" s="1217" customFormat="1" ht="15.75" thickBot="1">
      <c r="A7" s="2931"/>
      <c r="B7" s="2938" t="s">
        <v>529</v>
      </c>
      <c r="C7" s="517">
        <f>'数据-取费表'!B2</f>
        <v>43382</v>
      </c>
      <c r="D7" s="518">
        <v>100</v>
      </c>
      <c r="E7" s="3282">
        <v>43374</v>
      </c>
      <c r="F7" s="3283">
        <f>SUMIF(59:59,YEAR(E7)&amp;"-"&amp;MONTH(E7),60:60)</f>
        <v>100</v>
      </c>
      <c r="G7" s="3282">
        <v>43374</v>
      </c>
      <c r="H7" s="3284">
        <f>SUMIF(59:59,YEAR(G7)&amp;"-"&amp;MONTH(G7),60:60)</f>
        <v>100</v>
      </c>
      <c r="I7" s="3282">
        <v>43374</v>
      </c>
      <c r="J7" s="3284">
        <f>SUMIF(59:59,YEAR(I7)&amp;"-"&amp;MONTH(I7),60:60)</f>
        <v>100</v>
      </c>
      <c r="K7" s="522"/>
      <c r="L7" s="3285"/>
      <c r="M7" s="2135"/>
      <c r="N7" s="2135"/>
      <c r="O7" s="2135"/>
      <c r="P7" s="3647" t="s">
        <v>530</v>
      </c>
      <c r="Q7" s="3647"/>
      <c r="R7" s="1566" t="s">
        <v>8</v>
      </c>
      <c r="S7" s="1567">
        <f t="shared" ref="S7:S15" si="0">F7</f>
        <v>100</v>
      </c>
      <c r="T7" s="1566" t="s">
        <v>8</v>
      </c>
      <c r="U7" s="1567">
        <f t="shared" ref="U7:U15" si="1">H7</f>
        <v>100</v>
      </c>
      <c r="V7" s="1566" t="s">
        <v>8</v>
      </c>
      <c r="W7" s="1567">
        <f t="shared" ref="W7:W15" si="2">J7</f>
        <v>100</v>
      </c>
      <c r="X7" s="1568"/>
      <c r="Y7" s="3645" t="s">
        <v>530</v>
      </c>
      <c r="Z7" s="3646"/>
      <c r="AA7" s="1569">
        <f>D7/F7</f>
        <v>1</v>
      </c>
      <c r="AB7" s="1569">
        <f>D7/H7</f>
        <v>1</v>
      </c>
      <c r="AC7" s="1569">
        <f>D7/J7</f>
        <v>1</v>
      </c>
    </row>
    <row r="8" spans="1:29" s="1217" customFormat="1" ht="15.75" thickBot="1">
      <c r="A8" s="2932"/>
      <c r="B8" s="2939" t="s">
        <v>531</v>
      </c>
      <c r="C8" s="523" t="s">
        <v>576</v>
      </c>
      <c r="D8" s="518">
        <v>100</v>
      </c>
      <c r="E8" s="523" t="s">
        <v>3045</v>
      </c>
      <c r="F8" s="520">
        <f>SUMIF(62:62,E8,63:63)-SUMIF(62:62,C8,63:63)+100</f>
        <v>100</v>
      </c>
      <c r="G8" s="523" t="s">
        <v>3045</v>
      </c>
      <c r="H8" s="518">
        <f>SUMIF(62:62,G8,63:63)-SUMIF(62:62,C8,63:63)+100</f>
        <v>100</v>
      </c>
      <c r="I8" s="523" t="s">
        <v>3045</v>
      </c>
      <c r="J8" s="518">
        <f>SUMIF(62:62,I8,63:63)-SUMIF(62:62,C8,63:63)+100</f>
        <v>100</v>
      </c>
      <c r="K8" s="522"/>
      <c r="L8" s="2134"/>
      <c r="M8" s="2135"/>
      <c r="N8" s="2135"/>
      <c r="O8" s="2135"/>
      <c r="P8" s="3647" t="s">
        <v>533</v>
      </c>
      <c r="Q8" s="3646"/>
      <c r="R8" s="1566" t="s">
        <v>8</v>
      </c>
      <c r="S8" s="1567">
        <f t="shared" si="0"/>
        <v>100</v>
      </c>
      <c r="T8" s="1566" t="s">
        <v>8</v>
      </c>
      <c r="U8" s="1567">
        <f t="shared" si="1"/>
        <v>100</v>
      </c>
      <c r="V8" s="1566" t="s">
        <v>8</v>
      </c>
      <c r="W8" s="1567">
        <f t="shared" si="2"/>
        <v>100</v>
      </c>
      <c r="X8" s="1568"/>
      <c r="Y8" s="3645" t="s">
        <v>533</v>
      </c>
      <c r="Z8" s="3646"/>
      <c r="AA8" s="1569">
        <f t="shared" ref="AA8:AA47" si="3">D8/F8</f>
        <v>1</v>
      </c>
      <c r="AB8" s="1569">
        <f t="shared" ref="AB8:AB47" si="4">D8/H8</f>
        <v>1</v>
      </c>
      <c r="AC8" s="1569">
        <f t="shared" ref="AC8:AC47" si="5">D8/J8</f>
        <v>1</v>
      </c>
    </row>
    <row r="9" spans="1:29" s="1217" customFormat="1" ht="15">
      <c r="A9" s="2933"/>
      <c r="B9" s="2940" t="s">
        <v>2760</v>
      </c>
      <c r="C9" s="3180" t="s">
        <v>3022</v>
      </c>
      <c r="D9" s="252">
        <v>100</v>
      </c>
      <c r="E9" s="858" t="s">
        <v>1678</v>
      </c>
      <c r="F9" s="252">
        <f>SUMIF(64:64,E9,65:65)-SUMIF(64:64,C9,65:65)+100</f>
        <v>100</v>
      </c>
      <c r="G9" s="856" t="s">
        <v>1678</v>
      </c>
      <c r="H9" s="252">
        <f>SUMIF(64:64,G9,65:65)-SUMIF(64:64,C9,65:65)+100</f>
        <v>100</v>
      </c>
      <c r="I9" s="856" t="s">
        <v>1678</v>
      </c>
      <c r="J9" s="252">
        <f>SUMIF(64:64,I9,65:65)-SUMIF(64:64,C9,65:65)+100</f>
        <v>100</v>
      </c>
      <c r="K9" s="522"/>
      <c r="L9" s="2134"/>
      <c r="M9" s="2135"/>
      <c r="N9" s="2135"/>
      <c r="O9" s="2135"/>
      <c r="P9" s="3614" t="s">
        <v>535</v>
      </c>
      <c r="Q9" s="1148" t="str">
        <f t="shared" ref="Q9:Q15" si="6">B9</f>
        <v>用途</v>
      </c>
      <c r="R9" s="1566" t="s">
        <v>8</v>
      </c>
      <c r="S9" s="1567">
        <f t="shared" si="0"/>
        <v>100</v>
      </c>
      <c r="T9" s="1566" t="s">
        <v>8</v>
      </c>
      <c r="U9" s="1567">
        <f t="shared" si="1"/>
        <v>100</v>
      </c>
      <c r="V9" s="1566" t="s">
        <v>8</v>
      </c>
      <c r="W9" s="1567">
        <f t="shared" si="2"/>
        <v>100</v>
      </c>
      <c r="X9" s="1568"/>
      <c r="Y9" s="3448" t="s">
        <v>536</v>
      </c>
      <c r="Z9" s="1147" t="str">
        <f t="shared" ref="Z9:Z15" si="7">Q9</f>
        <v>用途</v>
      </c>
      <c r="AA9" s="1569">
        <f t="shared" si="3"/>
        <v>1</v>
      </c>
      <c r="AB9" s="1569">
        <f t="shared" si="4"/>
        <v>1</v>
      </c>
      <c r="AC9" s="1569">
        <f t="shared" si="5"/>
        <v>1</v>
      </c>
    </row>
    <row r="10" spans="1:29" s="1335" customFormat="1" ht="27.75" thickBot="1">
      <c r="A10" s="2934"/>
      <c r="B10" s="2939" t="s">
        <v>2761</v>
      </c>
      <c r="C10" s="859" t="s">
        <v>3023</v>
      </c>
      <c r="D10" s="253">
        <v>100</v>
      </c>
      <c r="E10" s="859" t="s">
        <v>3046</v>
      </c>
      <c r="F10" s="253">
        <f>SUMIF(66:66,E10,67:67)-SUMIF(66:66,C10,67:67)+100</f>
        <v>99.5</v>
      </c>
      <c r="G10" s="860" t="s">
        <v>3046</v>
      </c>
      <c r="H10" s="253">
        <f>SUMIF(66:66,G10,67:67)-SUMIF(66:66,C10,67:67)+100</f>
        <v>99.5</v>
      </c>
      <c r="I10" s="859" t="s">
        <v>3132</v>
      </c>
      <c r="J10" s="253">
        <f>SUMIF(66:66,I10,67:67)-SUMIF(66:66,C10,67:67)+100</f>
        <v>99</v>
      </c>
      <c r="K10" s="3287">
        <v>0.5</v>
      </c>
      <c r="L10" s="2137"/>
      <c r="M10" s="2177"/>
      <c r="N10" s="2177"/>
      <c r="O10" s="2177"/>
      <c r="P10" s="3614"/>
      <c r="Q10" s="1148" t="str">
        <f t="shared" si="6"/>
        <v>土地使用年限（年）</v>
      </c>
      <c r="R10" s="1566" t="s">
        <v>8</v>
      </c>
      <c r="S10" s="1567">
        <f t="shared" si="0"/>
        <v>99.5</v>
      </c>
      <c r="T10" s="1566" t="s">
        <v>8</v>
      </c>
      <c r="U10" s="1567">
        <f t="shared" si="1"/>
        <v>99.5</v>
      </c>
      <c r="V10" s="1566" t="s">
        <v>8</v>
      </c>
      <c r="W10" s="1567">
        <f t="shared" si="2"/>
        <v>99</v>
      </c>
      <c r="X10" s="1568"/>
      <c r="Y10" s="3448"/>
      <c r="Z10" s="1147" t="str">
        <f t="shared" si="7"/>
        <v>土地使用年限（年）</v>
      </c>
      <c r="AA10" s="1569">
        <f t="shared" si="3"/>
        <v>1.0050251256281406</v>
      </c>
      <c r="AB10" s="1569">
        <f t="shared" si="4"/>
        <v>1.0050251256281406</v>
      </c>
      <c r="AC10" s="1569">
        <f t="shared" si="5"/>
        <v>1.0101010101010102</v>
      </c>
    </row>
    <row r="11" spans="1:29" ht="15" hidden="1">
      <c r="A11" s="2935"/>
      <c r="B11" s="2939"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39"/>
      <c r="M11" s="2133"/>
      <c r="N11" s="2133"/>
      <c r="O11" s="2133"/>
      <c r="P11" s="3614"/>
      <c r="Q11" s="1148" t="str">
        <f t="shared" si="6"/>
        <v>容积率</v>
      </c>
      <c r="R11" s="1566" t="s">
        <v>8</v>
      </c>
      <c r="S11" s="1567">
        <f t="shared" si="0"/>
        <v>100</v>
      </c>
      <c r="T11" s="1566" t="s">
        <v>8</v>
      </c>
      <c r="U11" s="1567">
        <f t="shared" si="1"/>
        <v>100</v>
      </c>
      <c r="V11" s="1566" t="s">
        <v>8</v>
      </c>
      <c r="W11" s="1567">
        <f t="shared" si="2"/>
        <v>100</v>
      </c>
      <c r="X11" s="1568"/>
      <c r="Y11" s="3448"/>
      <c r="Z11" s="1147" t="str">
        <f t="shared" si="7"/>
        <v>容积率</v>
      </c>
      <c r="AA11" s="1569">
        <f t="shared" si="3"/>
        <v>1</v>
      </c>
      <c r="AB11" s="1569">
        <f t="shared" si="4"/>
        <v>1</v>
      </c>
      <c r="AC11" s="1569">
        <f t="shared" si="5"/>
        <v>1</v>
      </c>
    </row>
    <row r="12" spans="1:29" s="1217" customFormat="1" ht="15" hidden="1">
      <c r="A12" s="2936"/>
      <c r="B12" s="294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614"/>
      <c r="Q12" s="1148">
        <f t="shared" si="6"/>
        <v>111</v>
      </c>
      <c r="R12" s="1566" t="s">
        <v>8</v>
      </c>
      <c r="S12" s="1567">
        <f t="shared" si="0"/>
        <v>100</v>
      </c>
      <c r="T12" s="1566" t="s">
        <v>8</v>
      </c>
      <c r="U12" s="1567">
        <f t="shared" si="1"/>
        <v>100</v>
      </c>
      <c r="V12" s="1566" t="s">
        <v>8</v>
      </c>
      <c r="W12" s="1567">
        <f t="shared" si="2"/>
        <v>100</v>
      </c>
      <c r="X12" s="1568"/>
      <c r="Y12" s="3448"/>
      <c r="Z12" s="1147">
        <f t="shared" si="7"/>
        <v>111</v>
      </c>
      <c r="AA12" s="1569">
        <f>D12/F12</f>
        <v>1</v>
      </c>
      <c r="AB12" s="1569">
        <f>D12/H12</f>
        <v>1</v>
      </c>
      <c r="AC12" s="1569">
        <f>D12/J12</f>
        <v>1</v>
      </c>
    </row>
    <row r="13" spans="1:29" ht="15" hidden="1">
      <c r="A13" s="2936"/>
      <c r="B13" s="294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614"/>
      <c r="Q13" s="1148">
        <f t="shared" si="6"/>
        <v>111</v>
      </c>
      <c r="R13" s="1566" t="s">
        <v>8</v>
      </c>
      <c r="S13" s="1567">
        <f t="shared" si="0"/>
        <v>100</v>
      </c>
      <c r="T13" s="1566" t="s">
        <v>8</v>
      </c>
      <c r="U13" s="1567">
        <f t="shared" si="1"/>
        <v>100</v>
      </c>
      <c r="V13" s="1566" t="s">
        <v>8</v>
      </c>
      <c r="W13" s="1567">
        <f t="shared" si="2"/>
        <v>100</v>
      </c>
      <c r="X13" s="1568"/>
      <c r="Y13" s="3448"/>
      <c r="Z13" s="1147">
        <f t="shared" si="7"/>
        <v>111</v>
      </c>
      <c r="AA13" s="1569">
        <f t="shared" si="3"/>
        <v>1</v>
      </c>
      <c r="AB13" s="1569">
        <f t="shared" si="4"/>
        <v>1</v>
      </c>
      <c r="AC13" s="1569">
        <f t="shared" si="5"/>
        <v>1</v>
      </c>
    </row>
    <row r="14" spans="1:29" ht="15.75" hidden="1" thickBot="1">
      <c r="A14" s="2937"/>
      <c r="B14" s="294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614"/>
      <c r="Q14" s="1148">
        <f t="shared" si="6"/>
        <v>111</v>
      </c>
      <c r="R14" s="1566" t="s">
        <v>8</v>
      </c>
      <c r="S14" s="1567">
        <f t="shared" si="0"/>
        <v>100</v>
      </c>
      <c r="T14" s="1566" t="s">
        <v>8</v>
      </c>
      <c r="U14" s="1567">
        <f t="shared" si="1"/>
        <v>100</v>
      </c>
      <c r="V14" s="1566" t="s">
        <v>8</v>
      </c>
      <c r="W14" s="1567">
        <f t="shared" si="2"/>
        <v>100</v>
      </c>
      <c r="X14" s="1568"/>
      <c r="Y14" s="3448"/>
      <c r="Z14" s="1147">
        <f t="shared" si="7"/>
        <v>111</v>
      </c>
      <c r="AA14" s="1569">
        <f t="shared" si="3"/>
        <v>1</v>
      </c>
      <c r="AB14" s="1569">
        <f t="shared" si="4"/>
        <v>1</v>
      </c>
      <c r="AC14" s="1569">
        <f t="shared" si="5"/>
        <v>1</v>
      </c>
    </row>
    <row r="15" spans="1:29" ht="84" customHeight="1">
      <c r="A15" s="2929" t="s">
        <v>2758</v>
      </c>
      <c r="B15" s="545" t="s">
        <v>542</v>
      </c>
      <c r="C15" s="546" t="str">
        <f>估价对象房地状况!C5</f>
        <v>估价对象位于西直门商圈，估价对象周边主要以居住为主，办公楼项目较少，办公集聚程度一般。</v>
      </c>
      <c r="D15" s="547">
        <v>100</v>
      </c>
      <c r="E15" s="3228" t="s">
        <v>3091</v>
      </c>
      <c r="F15" s="547">
        <f>SUMIF(77:77,E16,78:78)-SUMIF(77:77,C16,78:78)+100</f>
        <v>102</v>
      </c>
      <c r="G15" s="3228" t="s">
        <v>3091</v>
      </c>
      <c r="H15" s="547">
        <f>SUMIF(77:77,G16,78:78)-SUMIF(77:77,C16,78:78)+100</f>
        <v>102</v>
      </c>
      <c r="I15" s="3228" t="s">
        <v>3091</v>
      </c>
      <c r="J15" s="547">
        <f>SUMIF(77:77,I16,78:78)-SUMIF(77:77,C16,78:78)+100</f>
        <v>102</v>
      </c>
      <c r="K15" s="3317">
        <v>2</v>
      </c>
      <c r="L15" s="2141"/>
      <c r="M15" s="2133"/>
      <c r="N15" s="2133"/>
      <c r="O15" s="2133"/>
      <c r="P15" s="3648" t="s">
        <v>540</v>
      </c>
      <c r="Q15" s="1570" t="str">
        <f t="shared" si="6"/>
        <v>办公集聚程度</v>
      </c>
      <c r="R15" s="1571" t="s">
        <v>8</v>
      </c>
      <c r="S15" s="1572">
        <f t="shared" si="0"/>
        <v>102</v>
      </c>
      <c r="T15" s="1571" t="s">
        <v>8</v>
      </c>
      <c r="U15" s="1572">
        <f t="shared" si="1"/>
        <v>102</v>
      </c>
      <c r="V15" s="1571" t="s">
        <v>8</v>
      </c>
      <c r="W15" s="1572">
        <f t="shared" si="2"/>
        <v>102</v>
      </c>
      <c r="X15" s="1565"/>
      <c r="Y15" s="3648" t="s">
        <v>540</v>
      </c>
      <c r="Z15" s="1573" t="str">
        <f t="shared" si="7"/>
        <v>办公集聚程度</v>
      </c>
      <c r="AA15" s="1574">
        <f t="shared" si="3"/>
        <v>0.98039215686274506</v>
      </c>
      <c r="AB15" s="1574">
        <f t="shared" si="4"/>
        <v>0.98039215686274506</v>
      </c>
      <c r="AC15" s="1574">
        <f t="shared" si="5"/>
        <v>0.98039215686274506</v>
      </c>
    </row>
    <row r="16" spans="1:29" ht="15">
      <c r="A16" s="530"/>
      <c r="B16" s="551"/>
      <c r="C16" s="552" t="s">
        <v>3047</v>
      </c>
      <c r="D16" s="553"/>
      <c r="E16" s="574" t="s">
        <v>3024</v>
      </c>
      <c r="F16" s="553"/>
      <c r="G16" s="552" t="s">
        <v>3024</v>
      </c>
      <c r="H16" s="557"/>
      <c r="I16" s="574" t="s">
        <v>3024</v>
      </c>
      <c r="J16" s="553"/>
      <c r="K16" s="897"/>
      <c r="L16" s="2141"/>
      <c r="M16" s="2133"/>
      <c r="N16" s="2133"/>
      <c r="O16" s="2133"/>
      <c r="P16" s="3649"/>
      <c r="Q16" s="1570"/>
      <c r="R16" s="1571"/>
      <c r="S16" s="1572"/>
      <c r="T16" s="1571"/>
      <c r="U16" s="1572"/>
      <c r="V16" s="1571"/>
      <c r="W16" s="1572"/>
      <c r="X16" s="1565"/>
      <c r="Y16" s="3649"/>
      <c r="Z16" s="1573"/>
      <c r="AA16" s="1574">
        <v>1</v>
      </c>
      <c r="AB16" s="1574">
        <v>1</v>
      </c>
      <c r="AC16" s="1574">
        <v>1</v>
      </c>
    </row>
    <row r="17" spans="1:29" ht="256.5">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3134</v>
      </c>
      <c r="F17" s="557">
        <f>SUMIF(79:79,E18,80:80)-SUMIF(79:79,C18,80:80)+100</f>
        <v>100</v>
      </c>
      <c r="G17" s="562" t="s">
        <v>3142</v>
      </c>
      <c r="H17" s="563">
        <f>SUMIF(79:79,G18,80:80)-SUMIF(79:79,C18,80:80)+100</f>
        <v>100</v>
      </c>
      <c r="I17" s="562" t="s">
        <v>3137</v>
      </c>
      <c r="J17" s="563">
        <f>SUMIF(79:79,I18,80:80)-SUMIF(79:79,C18,80:80)+100</f>
        <v>100</v>
      </c>
      <c r="K17" s="3317">
        <v>1</v>
      </c>
      <c r="L17" s="2141"/>
      <c r="M17" s="2133"/>
      <c r="N17" s="2133"/>
      <c r="O17" s="2133"/>
      <c r="P17" s="3649"/>
      <c r="Q17" s="1570" t="str">
        <f>B17</f>
        <v>交通便捷度</v>
      </c>
      <c r="R17" s="1571" t="s">
        <v>8</v>
      </c>
      <c r="S17" s="1572">
        <f>F17</f>
        <v>100</v>
      </c>
      <c r="T17" s="1571" t="s">
        <v>8</v>
      </c>
      <c r="U17" s="1572">
        <f>H17</f>
        <v>100</v>
      </c>
      <c r="V17" s="1571" t="s">
        <v>8</v>
      </c>
      <c r="W17" s="1572">
        <f>J17</f>
        <v>100</v>
      </c>
      <c r="X17" s="1565"/>
      <c r="Y17" s="3649"/>
      <c r="Z17" s="1573" t="str">
        <f>Q17</f>
        <v>交通便捷度</v>
      </c>
      <c r="AA17" s="1574">
        <f t="shared" si="3"/>
        <v>1</v>
      </c>
      <c r="AB17" s="1574">
        <f t="shared" si="4"/>
        <v>1</v>
      </c>
      <c r="AC17" s="1574">
        <f t="shared" si="5"/>
        <v>1</v>
      </c>
    </row>
    <row r="18" spans="1:29" ht="15">
      <c r="A18" s="530"/>
      <c r="B18" s="564"/>
      <c r="C18" s="565" t="s">
        <v>3024</v>
      </c>
      <c r="D18" s="557"/>
      <c r="E18" s="567" t="s">
        <v>3024</v>
      </c>
      <c r="F18" s="557"/>
      <c r="G18" s="566" t="s">
        <v>3024</v>
      </c>
      <c r="H18" s="553"/>
      <c r="I18" s="566" t="s">
        <v>3024</v>
      </c>
      <c r="J18" s="553"/>
      <c r="K18" s="897"/>
      <c r="L18" s="2141"/>
      <c r="M18" s="2133"/>
      <c r="N18" s="2133"/>
      <c r="O18" s="2133"/>
      <c r="P18" s="3649"/>
      <c r="Q18" s="1570"/>
      <c r="R18" s="1571"/>
      <c r="S18" s="1572"/>
      <c r="T18" s="1571"/>
      <c r="U18" s="1572"/>
      <c r="V18" s="1571"/>
      <c r="W18" s="1572"/>
      <c r="X18" s="1565"/>
      <c r="Y18" s="3649"/>
      <c r="Z18" s="1573"/>
      <c r="AA18" s="1574">
        <v>1</v>
      </c>
      <c r="AB18" s="1574">
        <v>1</v>
      </c>
      <c r="AC18" s="1574">
        <v>1</v>
      </c>
    </row>
    <row r="19" spans="1:29" ht="42.75">
      <c r="A19" s="530"/>
      <c r="B19" s="2624" t="s">
        <v>2550</v>
      </c>
      <c r="C19" s="571" t="str">
        <f>估价对象房地状况!C7</f>
        <v>估价对象所在区域公共配套设施齐备</v>
      </c>
      <c r="D19" s="563">
        <v>100</v>
      </c>
      <c r="E19" s="3181" t="s">
        <v>3085</v>
      </c>
      <c r="F19" s="563">
        <f>SUMIF(81:81,E20,82:82)-SUMIF(81:81,C20,82:82)+100</f>
        <v>100</v>
      </c>
      <c r="G19" s="3181" t="s">
        <v>3085</v>
      </c>
      <c r="H19" s="557">
        <f>SUMIF(81:81,G20,82:82)-SUMIF(81:81,C20,82:82)+100</f>
        <v>100</v>
      </c>
      <c r="I19" s="3181" t="s">
        <v>3085</v>
      </c>
      <c r="J19" s="557">
        <f>SUMIF(81:81,I20,82:82)-SUMIF(81:81,C20,82:82)+100</f>
        <v>100</v>
      </c>
      <c r="K19" s="896"/>
      <c r="L19" s="2141"/>
      <c r="M19" s="2133"/>
      <c r="N19" s="2133"/>
      <c r="O19" s="2133"/>
      <c r="P19" s="3649"/>
      <c r="Q19" s="1570" t="str">
        <f>B19</f>
        <v>公共配套设施</v>
      </c>
      <c r="R19" s="1571" t="s">
        <v>8</v>
      </c>
      <c r="S19" s="1572">
        <f>F19</f>
        <v>100</v>
      </c>
      <c r="T19" s="1571" t="s">
        <v>8</v>
      </c>
      <c r="U19" s="1572">
        <f>H19</f>
        <v>100</v>
      </c>
      <c r="V19" s="1571" t="s">
        <v>8</v>
      </c>
      <c r="W19" s="1572">
        <f>J19</f>
        <v>100</v>
      </c>
      <c r="X19" s="1565"/>
      <c r="Y19" s="3649"/>
      <c r="Z19" s="1573" t="str">
        <f>Q19</f>
        <v>公共配套设施</v>
      </c>
      <c r="AA19" s="1574">
        <f t="shared" si="3"/>
        <v>1</v>
      </c>
      <c r="AB19" s="1574">
        <f t="shared" si="4"/>
        <v>1</v>
      </c>
      <c r="AC19" s="1574">
        <f t="shared" si="5"/>
        <v>1</v>
      </c>
    </row>
    <row r="20" spans="1:29" ht="15">
      <c r="A20" s="530"/>
      <c r="B20" s="564"/>
      <c r="C20" s="552" t="s">
        <v>3025</v>
      </c>
      <c r="D20" s="553"/>
      <c r="E20" s="556" t="s">
        <v>3025</v>
      </c>
      <c r="F20" s="553"/>
      <c r="G20" s="554" t="s">
        <v>3025</v>
      </c>
      <c r="H20" s="553"/>
      <c r="I20" s="554" t="s">
        <v>3025</v>
      </c>
      <c r="J20" s="553"/>
      <c r="K20" s="897"/>
      <c r="L20" s="2141"/>
      <c r="M20" s="2133"/>
      <c r="N20" s="2133"/>
      <c r="O20" s="2133"/>
      <c r="P20" s="3649"/>
      <c r="Q20" s="1570"/>
      <c r="R20" s="1571"/>
      <c r="S20" s="1572"/>
      <c r="T20" s="1571"/>
      <c r="U20" s="1572"/>
      <c r="V20" s="1571"/>
      <c r="W20" s="1572"/>
      <c r="X20" s="1565"/>
      <c r="Y20" s="3649"/>
      <c r="Z20" s="1573"/>
      <c r="AA20" s="1574">
        <v>1</v>
      </c>
      <c r="AB20" s="1574">
        <v>1</v>
      </c>
      <c r="AC20" s="1574">
        <v>1</v>
      </c>
    </row>
    <row r="21" spans="1:29" ht="42.75">
      <c r="A21" s="530"/>
      <c r="B21" s="2612" t="s">
        <v>2562</v>
      </c>
      <c r="C21" s="571" t="str">
        <f>估价对象房地状况!C8</f>
        <v>估价对象所在区域基础设施水平达到七通</v>
      </c>
      <c r="D21" s="563">
        <v>100</v>
      </c>
      <c r="E21" s="3181" t="s">
        <v>3086</v>
      </c>
      <c r="F21" s="563">
        <f>SUMIF(83:83,E22,84:84)-SUMIF(83:83,C22,84:84)+100</f>
        <v>100</v>
      </c>
      <c r="G21" s="3181" t="s">
        <v>3086</v>
      </c>
      <c r="H21" s="563">
        <f>SUMIF(83:83,G22,84:84)-SUMIF(83:83,C22,84:84)+100</f>
        <v>100</v>
      </c>
      <c r="I21" s="3181" t="s">
        <v>3086</v>
      </c>
      <c r="J21" s="563">
        <f>SUMIF(83:83,I22,84:84)-SUMIF(83:83,C22,84:84)+100</f>
        <v>100</v>
      </c>
      <c r="K21" s="896"/>
      <c r="L21" s="2141"/>
      <c r="M21" s="2133"/>
      <c r="N21" s="2133"/>
      <c r="O21" s="2133"/>
      <c r="P21" s="3649"/>
      <c r="Q21" s="2600" t="str">
        <f>B21</f>
        <v>基础设施水平</v>
      </c>
      <c r="R21" s="1571" t="s">
        <v>8</v>
      </c>
      <c r="S21" s="1572">
        <f>F21</f>
        <v>100</v>
      </c>
      <c r="T21" s="1571" t="s">
        <v>8</v>
      </c>
      <c r="U21" s="1572">
        <f>H21</f>
        <v>100</v>
      </c>
      <c r="V21" s="1571" t="s">
        <v>8</v>
      </c>
      <c r="W21" s="1572">
        <f>J21</f>
        <v>100</v>
      </c>
      <c r="X21" s="2602"/>
      <c r="Y21" s="3649"/>
      <c r="Z21" s="2601" t="str">
        <f>Q21</f>
        <v>基础设施水平</v>
      </c>
      <c r="AA21" s="1574">
        <f t="shared" ref="AA21" si="8">D21/F21</f>
        <v>1</v>
      </c>
      <c r="AB21" s="1574">
        <f t="shared" ref="AB21" si="9">D21/H21</f>
        <v>1</v>
      </c>
      <c r="AC21" s="1574">
        <f t="shared" ref="AC21" si="10">D21/J21</f>
        <v>1</v>
      </c>
    </row>
    <row r="22" spans="1:29" ht="15">
      <c r="A22" s="530"/>
      <c r="B22" s="576"/>
      <c r="C22" s="565" t="s">
        <v>3026</v>
      </c>
      <c r="D22" s="553"/>
      <c r="E22" s="574" t="s">
        <v>3026</v>
      </c>
      <c r="F22" s="553"/>
      <c r="G22" s="552" t="s">
        <v>3026</v>
      </c>
      <c r="H22" s="553"/>
      <c r="I22" s="552" t="s">
        <v>3026</v>
      </c>
      <c r="J22" s="553"/>
      <c r="K22" s="2623"/>
      <c r="L22" s="2141"/>
      <c r="M22" s="2133"/>
      <c r="N22" s="2133"/>
      <c r="O22" s="2133"/>
      <c r="P22" s="3649"/>
      <c r="Q22" s="2600"/>
      <c r="R22" s="1571"/>
      <c r="S22" s="1572"/>
      <c r="T22" s="1571"/>
      <c r="U22" s="1572"/>
      <c r="V22" s="1571"/>
      <c r="W22" s="1572"/>
      <c r="X22" s="2602"/>
      <c r="Y22" s="3649"/>
      <c r="Z22" s="2601"/>
      <c r="AA22" s="1574">
        <v>1</v>
      </c>
      <c r="AB22" s="1574">
        <v>1</v>
      </c>
      <c r="AC22" s="1574">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28" t="s">
        <v>3144</v>
      </c>
      <c r="F23" s="557">
        <f>SUMIF(85:85,E24,86:86)-SUMIF(85:85,C24,86:86)+100</f>
        <v>100</v>
      </c>
      <c r="G23" s="3228" t="s">
        <v>3144</v>
      </c>
      <c r="H23" s="557">
        <f>SUMIF(85:85,G24,86:86)-SUMIF(85:85,C24,86:86)+100</f>
        <v>100</v>
      </c>
      <c r="I23" s="3228" t="s">
        <v>3092</v>
      </c>
      <c r="J23" s="557">
        <f>SUMIF(85:85,I24,86:86)-SUMIF(85:85,C24,86:86)+100</f>
        <v>100</v>
      </c>
      <c r="K23" s="896">
        <v>2</v>
      </c>
      <c r="L23" s="2141"/>
      <c r="M23" s="2133"/>
      <c r="N23" s="2133"/>
      <c r="O23" s="2133"/>
      <c r="P23" s="3649"/>
      <c r="Q23" s="1570" t="str">
        <f>B23</f>
        <v>环境质量</v>
      </c>
      <c r="R23" s="1571" t="s">
        <v>8</v>
      </c>
      <c r="S23" s="1572">
        <f>F23</f>
        <v>100</v>
      </c>
      <c r="T23" s="1571" t="s">
        <v>8</v>
      </c>
      <c r="U23" s="1572">
        <f>H23</f>
        <v>100</v>
      </c>
      <c r="V23" s="1571" t="s">
        <v>8</v>
      </c>
      <c r="W23" s="1572">
        <f>J23</f>
        <v>100</v>
      </c>
      <c r="X23" s="1565"/>
      <c r="Y23" s="3649"/>
      <c r="Z23" s="1573" t="str">
        <f>Q23</f>
        <v>环境质量</v>
      </c>
      <c r="AA23" s="1574">
        <f t="shared" si="3"/>
        <v>1</v>
      </c>
      <c r="AB23" s="1574">
        <f t="shared" si="4"/>
        <v>1</v>
      </c>
      <c r="AC23" s="1574">
        <f t="shared" si="5"/>
        <v>1</v>
      </c>
    </row>
    <row r="24" spans="1:29" ht="15">
      <c r="A24" s="530"/>
      <c r="B24" s="576"/>
      <c r="C24" s="552" t="s">
        <v>3025</v>
      </c>
      <c r="D24" s="553"/>
      <c r="E24" s="556" t="s">
        <v>3025</v>
      </c>
      <c r="F24" s="553"/>
      <c r="G24" s="554" t="s">
        <v>3025</v>
      </c>
      <c r="H24" s="553"/>
      <c r="I24" s="554" t="s">
        <v>3025</v>
      </c>
      <c r="J24" s="553"/>
      <c r="K24" s="897"/>
      <c r="L24" s="2141"/>
      <c r="M24" s="2133"/>
      <c r="N24" s="2133"/>
      <c r="O24" s="2133"/>
      <c r="P24" s="3649"/>
      <c r="Q24" s="1570"/>
      <c r="R24" s="1571"/>
      <c r="S24" s="1572"/>
      <c r="T24" s="1571"/>
      <c r="U24" s="1572"/>
      <c r="V24" s="1571"/>
      <c r="W24" s="1572"/>
      <c r="X24" s="1565"/>
      <c r="Y24" s="3649"/>
      <c r="Z24" s="1573"/>
      <c r="AA24" s="1574">
        <v>1</v>
      </c>
      <c r="AB24" s="1574">
        <v>1</v>
      </c>
      <c r="AC24" s="1574">
        <v>1</v>
      </c>
    </row>
    <row r="25" spans="1:29" ht="27" hidden="1">
      <c r="A25" s="513"/>
      <c r="B25" s="558" t="s">
        <v>548</v>
      </c>
      <c r="C25" s="3182"/>
      <c r="D25" s="538">
        <v>100</v>
      </c>
      <c r="E25" s="3182"/>
      <c r="F25" s="538">
        <f>SUMIF(87:87,E26,88:88)-SUMIF(87:87,C26,88:88)+100</f>
        <v>100</v>
      </c>
      <c r="G25" s="3182"/>
      <c r="H25" s="538">
        <f>SUMIF(87:87,G26,88:88)-SUMIF(87:87,C26,88:88)+100</f>
        <v>100</v>
      </c>
      <c r="I25" s="3188"/>
      <c r="J25" s="538">
        <f>SUMIF(87:87,I26,88:88)-SUMIF(87:87,C26,88:88)+100</f>
        <v>100</v>
      </c>
      <c r="K25" s="896">
        <v>1</v>
      </c>
      <c r="L25" s="2141"/>
      <c r="M25" s="2133"/>
      <c r="N25" s="2133"/>
      <c r="O25" s="2133"/>
      <c r="P25" s="3649"/>
      <c r="Q25" s="1570" t="str">
        <f>B25</f>
        <v>毗邻道路的类型与等级</v>
      </c>
      <c r="R25" s="1571" t="s">
        <v>8</v>
      </c>
      <c r="S25" s="1572">
        <f>F25</f>
        <v>100</v>
      </c>
      <c r="T25" s="1571" t="s">
        <v>8</v>
      </c>
      <c r="U25" s="1572">
        <f>H25</f>
        <v>100</v>
      </c>
      <c r="V25" s="1571" t="s">
        <v>8</v>
      </c>
      <c r="W25" s="1572">
        <f>J25</f>
        <v>100</v>
      </c>
      <c r="X25" s="1565"/>
      <c r="Y25" s="3649"/>
      <c r="Z25" s="1573" t="str">
        <f>Q25</f>
        <v>毗邻道路的类型与等级</v>
      </c>
      <c r="AA25" s="1574">
        <f t="shared" si="3"/>
        <v>1</v>
      </c>
      <c r="AB25" s="1574">
        <f t="shared" si="4"/>
        <v>1</v>
      </c>
      <c r="AC25" s="1574">
        <f t="shared" si="5"/>
        <v>1</v>
      </c>
    </row>
    <row r="26" spans="1:29" ht="15" hidden="1">
      <c r="A26" s="513"/>
      <c r="B26" s="564"/>
      <c r="C26" s="578"/>
      <c r="D26" s="538"/>
      <c r="E26" s="581"/>
      <c r="F26" s="538"/>
      <c r="G26" s="578"/>
      <c r="H26" s="538"/>
      <c r="I26" s="581"/>
      <c r="J26" s="538"/>
      <c r="K26" s="897"/>
      <c r="L26" s="2141"/>
      <c r="M26" s="2133"/>
      <c r="N26" s="2133"/>
      <c r="O26" s="2133"/>
      <c r="P26" s="3649"/>
      <c r="Q26" s="1570"/>
      <c r="R26" s="1571"/>
      <c r="S26" s="1572"/>
      <c r="T26" s="1571"/>
      <c r="U26" s="1572"/>
      <c r="V26" s="1571"/>
      <c r="W26" s="1572"/>
      <c r="X26" s="1565"/>
      <c r="Y26" s="3649"/>
      <c r="Z26" s="1573"/>
      <c r="AA26" s="1574">
        <v>1</v>
      </c>
      <c r="AB26" s="1574">
        <v>1</v>
      </c>
      <c r="AC26" s="1574">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649"/>
      <c r="Q27" s="1570" t="str">
        <f t="shared" ref="Q27:Q47" si="11">B27</f>
        <v>楼层</v>
      </c>
      <c r="R27" s="1571" t="s">
        <v>8</v>
      </c>
      <c r="S27" s="1572">
        <f>F27</f>
        <v>100</v>
      </c>
      <c r="T27" s="1571" t="s">
        <v>8</v>
      </c>
      <c r="U27" s="1572">
        <f>H27</f>
        <v>100</v>
      </c>
      <c r="V27" s="1571" t="s">
        <v>8</v>
      </c>
      <c r="W27" s="1572">
        <f>J27</f>
        <v>100</v>
      </c>
      <c r="X27" s="1565"/>
      <c r="Y27" s="3649"/>
      <c r="Z27" s="1573" t="str">
        <f>Q27</f>
        <v>楼层</v>
      </c>
      <c r="AA27" s="1574">
        <f t="shared" si="3"/>
        <v>1</v>
      </c>
      <c r="AB27" s="1574">
        <f t="shared" si="4"/>
        <v>1</v>
      </c>
      <c r="AC27" s="1574">
        <f t="shared" si="5"/>
        <v>1</v>
      </c>
    </row>
    <row r="28" spans="1:29" s="1217"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649"/>
      <c r="Q28" s="1148" t="str">
        <f t="shared" si="11"/>
        <v>朝向</v>
      </c>
      <c r="R28" s="1566" t="s">
        <v>8</v>
      </c>
      <c r="S28" s="1567">
        <f>F28</f>
        <v>100</v>
      </c>
      <c r="T28" s="1566" t="s">
        <v>8</v>
      </c>
      <c r="U28" s="1567">
        <f>H28</f>
        <v>100</v>
      </c>
      <c r="V28" s="1566" t="s">
        <v>8</v>
      </c>
      <c r="W28" s="1567">
        <f>J28</f>
        <v>100</v>
      </c>
      <c r="X28" s="1568"/>
      <c r="Y28" s="3649"/>
      <c r="Z28" s="1147" t="str">
        <f>Q28</f>
        <v>朝向</v>
      </c>
      <c r="AA28" s="1574">
        <f>D28/F28</f>
        <v>1</v>
      </c>
      <c r="AB28" s="1574">
        <f>D28/H28</f>
        <v>1</v>
      </c>
      <c r="AC28" s="1574">
        <f>D28/J28</f>
        <v>1</v>
      </c>
    </row>
    <row r="29" spans="1:29" ht="27.75" thickBot="1">
      <c r="A29" s="530"/>
      <c r="B29" s="3189" t="s">
        <v>548</v>
      </c>
      <c r="C29" s="3182" t="s">
        <v>3095</v>
      </c>
      <c r="D29" s="538">
        <v>100</v>
      </c>
      <c r="E29" s="3315" t="s">
        <v>3143</v>
      </c>
      <c r="F29" s="538">
        <f>SUMIF(93:93,E29,94:94)-SUMIF(93:93,C29,94:94)+100</f>
        <v>100</v>
      </c>
      <c r="G29" s="3315" t="s">
        <v>3133</v>
      </c>
      <c r="H29" s="538">
        <f>SUMIF(93:93,G29,94:94)-SUMIF(93:93,C29,94:94)+100</f>
        <v>100</v>
      </c>
      <c r="I29" s="3316" t="s">
        <v>3136</v>
      </c>
      <c r="J29" s="538">
        <f>SUMIF(93:93,I29,94:94)-SUMIF(93:93,C29,94:94)+100</f>
        <v>98</v>
      </c>
      <c r="K29" s="579"/>
      <c r="L29" s="2141"/>
      <c r="M29" s="2133"/>
      <c r="N29" s="2133"/>
      <c r="O29" s="2133"/>
      <c r="P29" s="3649"/>
      <c r="Q29" s="1570" t="str">
        <f t="shared" si="11"/>
        <v>毗邻道路的类型与等级</v>
      </c>
      <c r="R29" s="1571" t="s">
        <v>8</v>
      </c>
      <c r="S29" s="1572">
        <f t="shared" ref="S29:S47" si="12">F29</f>
        <v>100</v>
      </c>
      <c r="T29" s="1571" t="s">
        <v>8</v>
      </c>
      <c r="U29" s="1572">
        <f t="shared" ref="U29:U47" si="13">H29</f>
        <v>100</v>
      </c>
      <c r="V29" s="1571" t="s">
        <v>8</v>
      </c>
      <c r="W29" s="1572">
        <f t="shared" ref="W29:W47" si="14">J29</f>
        <v>98</v>
      </c>
      <c r="X29" s="1565"/>
      <c r="Y29" s="3649"/>
      <c r="Z29" s="1573" t="str">
        <f t="shared" ref="Z29:Z47" si="15">Q29</f>
        <v>毗邻道路的类型与等级</v>
      </c>
      <c r="AA29" s="1574">
        <f t="shared" si="3"/>
        <v>1</v>
      </c>
      <c r="AB29" s="1574">
        <f t="shared" si="4"/>
        <v>1</v>
      </c>
      <c r="AC29" s="1574">
        <f t="shared" si="5"/>
        <v>1.0204081632653061</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649"/>
      <c r="Q30" s="1570">
        <f t="shared" si="11"/>
        <v>111</v>
      </c>
      <c r="R30" s="1571" t="s">
        <v>8</v>
      </c>
      <c r="S30" s="1572">
        <f t="shared" si="12"/>
        <v>100</v>
      </c>
      <c r="T30" s="1571" t="s">
        <v>8</v>
      </c>
      <c r="U30" s="1572">
        <f t="shared" si="13"/>
        <v>100</v>
      </c>
      <c r="V30" s="1571" t="s">
        <v>8</v>
      </c>
      <c r="W30" s="1572">
        <f t="shared" si="14"/>
        <v>100</v>
      </c>
      <c r="X30" s="1565"/>
      <c r="Y30" s="3649"/>
      <c r="Z30" s="1573">
        <f t="shared" si="15"/>
        <v>111</v>
      </c>
      <c r="AA30" s="1574">
        <f t="shared" si="3"/>
        <v>1</v>
      </c>
      <c r="AB30" s="1574">
        <f t="shared" si="4"/>
        <v>1</v>
      </c>
      <c r="AC30" s="1574">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649"/>
      <c r="Q31" s="1570">
        <f t="shared" si="11"/>
        <v>111</v>
      </c>
      <c r="R31" s="1571" t="s">
        <v>8</v>
      </c>
      <c r="S31" s="1572">
        <f t="shared" si="12"/>
        <v>100</v>
      </c>
      <c r="T31" s="1571" t="s">
        <v>8</v>
      </c>
      <c r="U31" s="1572">
        <f t="shared" si="13"/>
        <v>100</v>
      </c>
      <c r="V31" s="1571" t="s">
        <v>8</v>
      </c>
      <c r="W31" s="1572">
        <f t="shared" si="14"/>
        <v>100</v>
      </c>
      <c r="X31" s="1565"/>
      <c r="Y31" s="3649"/>
      <c r="Z31" s="1573">
        <f t="shared" si="15"/>
        <v>111</v>
      </c>
      <c r="AA31" s="1574">
        <f t="shared" si="3"/>
        <v>1</v>
      </c>
      <c r="AB31" s="1574">
        <f t="shared" si="4"/>
        <v>1</v>
      </c>
      <c r="AC31" s="1574">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649"/>
      <c r="Q32" s="1570">
        <f t="shared" si="11"/>
        <v>111</v>
      </c>
      <c r="R32" s="1571" t="s">
        <v>8</v>
      </c>
      <c r="S32" s="1572">
        <f t="shared" si="12"/>
        <v>100</v>
      </c>
      <c r="T32" s="1571" t="s">
        <v>8</v>
      </c>
      <c r="U32" s="1572">
        <f t="shared" si="13"/>
        <v>100</v>
      </c>
      <c r="V32" s="1571" t="s">
        <v>8</v>
      </c>
      <c r="W32" s="1572">
        <f t="shared" si="14"/>
        <v>100</v>
      </c>
      <c r="X32" s="1565"/>
      <c r="Y32" s="3649"/>
      <c r="Z32" s="1573">
        <f t="shared" si="15"/>
        <v>111</v>
      </c>
      <c r="AA32" s="1574">
        <f t="shared" si="3"/>
        <v>1</v>
      </c>
      <c r="AB32" s="1574">
        <f t="shared" si="4"/>
        <v>1</v>
      </c>
      <c r="AC32" s="1574">
        <f t="shared" si="5"/>
        <v>1</v>
      </c>
    </row>
    <row r="33" spans="1:29" ht="15">
      <c r="A33" s="2926" t="s">
        <v>2759</v>
      </c>
      <c r="B33" s="170" t="s">
        <v>780</v>
      </c>
      <c r="C33" s="3183" t="s">
        <v>3027</v>
      </c>
      <c r="D33" s="595">
        <v>100</v>
      </c>
      <c r="E33" s="914" t="s">
        <v>3032</v>
      </c>
      <c r="F33" s="573">
        <f>SUMIF(101:101,E33,102:102)-SUMIF(101:101,C33,102:102)+100</f>
        <v>105</v>
      </c>
      <c r="G33" s="914" t="s">
        <v>3032</v>
      </c>
      <c r="H33" s="538">
        <f>SUMIF(101:101,G33,102:102)-SUMIF(101:101,C33,102:102)+100</f>
        <v>105</v>
      </c>
      <c r="I33" s="914" t="s">
        <v>3032</v>
      </c>
      <c r="J33" s="595">
        <f>SUMIF(101:101,I33,102:102)-SUMIF(101:101,C33,102:102)+100</f>
        <v>105</v>
      </c>
      <c r="K33" s="3287">
        <v>5</v>
      </c>
      <c r="L33" s="2141"/>
      <c r="M33" s="2133"/>
      <c r="N33" s="2133"/>
      <c r="O33" s="2133"/>
      <c r="P33" s="3650" t="s">
        <v>550</v>
      </c>
      <c r="Q33" s="1570" t="str">
        <f t="shared" si="11"/>
        <v>建筑类型</v>
      </c>
      <c r="R33" s="1571" t="s">
        <v>8</v>
      </c>
      <c r="S33" s="1572">
        <f t="shared" si="12"/>
        <v>105</v>
      </c>
      <c r="T33" s="1571" t="s">
        <v>8</v>
      </c>
      <c r="U33" s="1572">
        <f t="shared" si="13"/>
        <v>105</v>
      </c>
      <c r="V33" s="1571" t="s">
        <v>8</v>
      </c>
      <c r="W33" s="1572">
        <f t="shared" si="14"/>
        <v>105</v>
      </c>
      <c r="X33" s="1565"/>
      <c r="Y33" s="3651" t="s">
        <v>550</v>
      </c>
      <c r="Z33" s="1573" t="str">
        <f t="shared" si="15"/>
        <v>建筑类型</v>
      </c>
      <c r="AA33" s="1574">
        <f t="shared" si="3"/>
        <v>0.95238095238095233</v>
      </c>
      <c r="AB33" s="1574">
        <f t="shared" si="4"/>
        <v>0.95238095238095233</v>
      </c>
      <c r="AC33" s="1574">
        <f t="shared" si="5"/>
        <v>0.95238095238095233</v>
      </c>
    </row>
    <row r="34" spans="1:29" s="1336" customFormat="1" ht="15">
      <c r="A34" s="601"/>
      <c r="B34" s="525" t="s">
        <v>726</v>
      </c>
      <c r="C34" s="3289">
        <v>1291.48</v>
      </c>
      <c r="D34" s="253">
        <v>100</v>
      </c>
      <c r="E34" s="3290">
        <v>59782</v>
      </c>
      <c r="F34" s="3291">
        <f>LOOKUP(E34,104:104,105:105)-LOOKUP(C34,104:104,105:105)+100</f>
        <v>99</v>
      </c>
      <c r="G34" s="3292">
        <v>15912</v>
      </c>
      <c r="H34" s="3293">
        <f>LOOKUP(G34,104:104,105:105)-LOOKUP(C34,104:104,105:105)+100</f>
        <v>99.5</v>
      </c>
      <c r="I34" s="3292">
        <v>130000</v>
      </c>
      <c r="J34" s="3293">
        <f>LOOKUP(I34,104:104,105:105)-LOOKUP(C34,104:104,105:105)+100</f>
        <v>98.5</v>
      </c>
      <c r="K34" s="579"/>
      <c r="L34" s="2139"/>
      <c r="M34" s="2170"/>
      <c r="N34" s="2170"/>
      <c r="O34" s="2170"/>
      <c r="P34" s="3651"/>
      <c r="Q34" s="1603" t="str">
        <f t="shared" si="11"/>
        <v>项目建筑规模</v>
      </c>
      <c r="R34" s="1575" t="s">
        <v>8</v>
      </c>
      <c r="S34" s="1576">
        <f t="shared" si="12"/>
        <v>99</v>
      </c>
      <c r="T34" s="1575" t="s">
        <v>8</v>
      </c>
      <c r="U34" s="1576">
        <f t="shared" si="13"/>
        <v>99.5</v>
      </c>
      <c r="V34" s="1575" t="s">
        <v>8</v>
      </c>
      <c r="W34" s="1576">
        <f t="shared" si="14"/>
        <v>98.5</v>
      </c>
      <c r="X34" s="1577"/>
      <c r="Y34" s="3651"/>
      <c r="Z34" s="1578" t="str">
        <f t="shared" si="15"/>
        <v>项目建筑规模</v>
      </c>
      <c r="AA34" s="1574">
        <f t="shared" si="3"/>
        <v>1.0101010101010102</v>
      </c>
      <c r="AB34" s="1574">
        <f t="shared" si="4"/>
        <v>1.0050251256281406</v>
      </c>
      <c r="AC34" s="1574">
        <f t="shared" si="5"/>
        <v>1.015228426395939</v>
      </c>
    </row>
    <row r="35" spans="1:29" ht="15">
      <c r="A35" s="592"/>
      <c r="B35" s="525" t="s">
        <v>727</v>
      </c>
      <c r="C35" s="572" t="s">
        <v>3030</v>
      </c>
      <c r="D35" s="538">
        <v>100</v>
      </c>
      <c r="E35" s="572" t="s">
        <v>3030</v>
      </c>
      <c r="F35" s="573">
        <f>SUMIF(106:106,E35,107:107)-SUMIF(106:106,C35,107:107)+100</f>
        <v>100</v>
      </c>
      <c r="G35" s="572" t="s">
        <v>3030</v>
      </c>
      <c r="H35" s="538">
        <f>SUMIF(106:106,G35,107:107)-SUMIF(106:106,C35,107:107)+100</f>
        <v>100</v>
      </c>
      <c r="I35" s="572" t="s">
        <v>3030</v>
      </c>
      <c r="J35" s="538">
        <f>SUMIF(106:106,I35,107:107)-SUMIF(106:106,C35,107:107)+100</f>
        <v>100</v>
      </c>
      <c r="K35" s="582">
        <v>1</v>
      </c>
      <c r="L35" s="2141"/>
      <c r="M35" s="2133"/>
      <c r="N35" s="2133"/>
      <c r="O35" s="2133"/>
      <c r="P35" s="3651"/>
      <c r="Q35" s="1570" t="str">
        <f t="shared" si="11"/>
        <v>建筑结构</v>
      </c>
      <c r="R35" s="1571" t="s">
        <v>8</v>
      </c>
      <c r="S35" s="1572">
        <f t="shared" si="12"/>
        <v>100</v>
      </c>
      <c r="T35" s="1571" t="s">
        <v>8</v>
      </c>
      <c r="U35" s="1572">
        <f t="shared" si="13"/>
        <v>100</v>
      </c>
      <c r="V35" s="1571" t="s">
        <v>8</v>
      </c>
      <c r="W35" s="1572">
        <f t="shared" si="14"/>
        <v>100</v>
      </c>
      <c r="X35" s="1565"/>
      <c r="Y35" s="3651"/>
      <c r="Z35" s="1573" t="str">
        <f t="shared" si="15"/>
        <v>建筑结构</v>
      </c>
      <c r="AA35" s="1574">
        <f t="shared" si="3"/>
        <v>1</v>
      </c>
      <c r="AB35" s="1574">
        <f t="shared" si="4"/>
        <v>1</v>
      </c>
      <c r="AC35" s="1574">
        <f t="shared" si="5"/>
        <v>1</v>
      </c>
    </row>
    <row r="36" spans="1:29" ht="15">
      <c r="A36" s="592"/>
      <c r="B36" s="525" t="s">
        <v>763</v>
      </c>
      <c r="C36" s="572" t="s">
        <v>3039</v>
      </c>
      <c r="D36" s="538">
        <v>100</v>
      </c>
      <c r="E36" s="572" t="s">
        <v>3041</v>
      </c>
      <c r="F36" s="573">
        <f>SUMIF(108:108,E36,109:109)-SUMIF(108:108,C36,109:109)+100</f>
        <v>97</v>
      </c>
      <c r="G36" s="572" t="s">
        <v>3041</v>
      </c>
      <c r="H36" s="538">
        <f>SUMIF(108:108,G36,109:109)-SUMIF(108:108,C36,109:109)+100</f>
        <v>97</v>
      </c>
      <c r="I36" s="572" t="s">
        <v>3041</v>
      </c>
      <c r="J36" s="538">
        <f>SUMIF(108:108,I36,109:109)-SUMIF(108:108,C36,109:109)+100</f>
        <v>97</v>
      </c>
      <c r="K36" s="582">
        <v>3</v>
      </c>
      <c r="L36" s="2141"/>
      <c r="M36" s="2133"/>
      <c r="N36" s="2133"/>
      <c r="O36" s="2133"/>
      <c r="P36" s="3651"/>
      <c r="Q36" s="1570" t="str">
        <f t="shared" si="11"/>
        <v>公共部分装修</v>
      </c>
      <c r="R36" s="1571" t="s">
        <v>8</v>
      </c>
      <c r="S36" s="1572">
        <f t="shared" si="12"/>
        <v>97</v>
      </c>
      <c r="T36" s="1571" t="s">
        <v>8</v>
      </c>
      <c r="U36" s="1572">
        <f t="shared" si="13"/>
        <v>97</v>
      </c>
      <c r="V36" s="1571" t="s">
        <v>8</v>
      </c>
      <c r="W36" s="1572">
        <f t="shared" si="14"/>
        <v>97</v>
      </c>
      <c r="X36" s="1565"/>
      <c r="Y36" s="3651"/>
      <c r="Z36" s="1573" t="str">
        <f t="shared" si="15"/>
        <v>公共部分装修</v>
      </c>
      <c r="AA36" s="1574">
        <f t="shared" si="3"/>
        <v>1.0309278350515463</v>
      </c>
      <c r="AB36" s="1574">
        <f t="shared" si="4"/>
        <v>1.0309278350515463</v>
      </c>
      <c r="AC36" s="1574">
        <f t="shared" si="5"/>
        <v>1.0309278350515463</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1"/>
      <c r="M37" s="2133"/>
      <c r="N37" s="2133"/>
      <c r="O37" s="2133"/>
      <c r="P37" s="3651"/>
      <c r="Q37" s="1570" t="str">
        <f t="shared" si="11"/>
        <v>成新度</v>
      </c>
      <c r="R37" s="1571" t="s">
        <v>8</v>
      </c>
      <c r="S37" s="1572">
        <f t="shared" si="12"/>
        <v>100</v>
      </c>
      <c r="T37" s="1571" t="s">
        <v>8</v>
      </c>
      <c r="U37" s="1572">
        <f t="shared" si="13"/>
        <v>100</v>
      </c>
      <c r="V37" s="1571" t="s">
        <v>8</v>
      </c>
      <c r="W37" s="1572">
        <f t="shared" si="14"/>
        <v>100</v>
      </c>
      <c r="X37" s="1565"/>
      <c r="Y37" s="3651"/>
      <c r="Z37" s="1573" t="str">
        <f t="shared" si="15"/>
        <v>成新度</v>
      </c>
      <c r="AA37" s="1574">
        <f t="shared" si="3"/>
        <v>1</v>
      </c>
      <c r="AB37" s="1574">
        <f t="shared" si="4"/>
        <v>1</v>
      </c>
      <c r="AC37" s="1574">
        <f t="shared" si="5"/>
        <v>1</v>
      </c>
    </row>
    <row r="38" spans="1:29" s="1217"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651"/>
      <c r="Q38" s="1148" t="str">
        <f t="shared" si="11"/>
        <v>写字楼等级</v>
      </c>
      <c r="R38" s="1566" t="s">
        <v>8</v>
      </c>
      <c r="S38" s="1567">
        <f t="shared" si="12"/>
        <v>100</v>
      </c>
      <c r="T38" s="1566" t="s">
        <v>8</v>
      </c>
      <c r="U38" s="1567">
        <f t="shared" si="13"/>
        <v>100</v>
      </c>
      <c r="V38" s="1566" t="s">
        <v>8</v>
      </c>
      <c r="W38" s="1567">
        <f t="shared" si="14"/>
        <v>100</v>
      </c>
      <c r="X38" s="1568"/>
      <c r="Y38" s="3651"/>
      <c r="Z38" s="1147" t="str">
        <f t="shared" si="15"/>
        <v>写字楼等级</v>
      </c>
      <c r="AA38" s="1569">
        <f t="shared" si="3"/>
        <v>1</v>
      </c>
      <c r="AB38" s="1569">
        <f t="shared" si="4"/>
        <v>1</v>
      </c>
      <c r="AC38" s="1569">
        <f t="shared" si="5"/>
        <v>1</v>
      </c>
    </row>
    <row r="39" spans="1:29" s="3332" customFormat="1" ht="15" hidden="1">
      <c r="A39" s="3318"/>
      <c r="B39" s="3319" t="s">
        <v>3145</v>
      </c>
      <c r="C39" s="3320" t="s">
        <v>3034</v>
      </c>
      <c r="D39" s="3321">
        <v>100</v>
      </c>
      <c r="E39" s="3320" t="s">
        <v>3034</v>
      </c>
      <c r="F39" s="3322">
        <f>SUMIF(115:115,E39,116:116)-SUMIF(115:115,C39,116:116)+100</f>
        <v>100</v>
      </c>
      <c r="G39" s="3320" t="s">
        <v>3034</v>
      </c>
      <c r="H39" s="3321">
        <f>SUMIF(115:115,G39,116:116)-SUMIF(115:115,C39,116:116)+100</f>
        <v>100</v>
      </c>
      <c r="I39" s="3320" t="s">
        <v>3034</v>
      </c>
      <c r="J39" s="3321">
        <f>SUMIF(115:115,I39,116:116)-SUMIF(115:115,C39,116:116)+100</f>
        <v>100</v>
      </c>
      <c r="K39" s="3323">
        <v>2</v>
      </c>
      <c r="L39" s="3324"/>
      <c r="M39" s="3325"/>
      <c r="N39" s="3325"/>
      <c r="O39" s="3325"/>
      <c r="P39" s="3651" t="s">
        <v>550</v>
      </c>
      <c r="Q39" s="3326" t="str">
        <f t="shared" si="11"/>
        <v>物业管理</v>
      </c>
      <c r="R39" s="3327" t="s">
        <v>3146</v>
      </c>
      <c r="S39" s="3328">
        <f t="shared" si="12"/>
        <v>100</v>
      </c>
      <c r="T39" s="3327" t="s">
        <v>3146</v>
      </c>
      <c r="U39" s="3328">
        <f t="shared" si="13"/>
        <v>100</v>
      </c>
      <c r="V39" s="3327" t="s">
        <v>3146</v>
      </c>
      <c r="W39" s="3328">
        <f t="shared" si="14"/>
        <v>100</v>
      </c>
      <c r="X39" s="3329"/>
      <c r="Y39" s="3651" t="s">
        <v>550</v>
      </c>
      <c r="Z39" s="3330" t="str">
        <f t="shared" si="15"/>
        <v>物业管理</v>
      </c>
      <c r="AA39" s="3331">
        <f t="shared" si="3"/>
        <v>1</v>
      </c>
      <c r="AB39" s="3331">
        <f t="shared" si="4"/>
        <v>1</v>
      </c>
      <c r="AC39" s="3331">
        <f t="shared" si="5"/>
        <v>1</v>
      </c>
    </row>
    <row r="40" spans="1:29" ht="15">
      <c r="A40" s="592"/>
      <c r="B40" s="1894" t="s">
        <v>2569</v>
      </c>
      <c r="C40" s="572" t="s">
        <v>3026</v>
      </c>
      <c r="D40" s="538">
        <v>100</v>
      </c>
      <c r="E40" s="572" t="s">
        <v>3026</v>
      </c>
      <c r="F40" s="573">
        <f>SUMIF(117:117,E40,118:118)-SUMIF(117:117,C40,118:118)+100</f>
        <v>100</v>
      </c>
      <c r="G40" s="572" t="s">
        <v>3026</v>
      </c>
      <c r="H40" s="538">
        <f>SUMIF(117:117,G40,118:118)-SUMIF(117:117,C40,118:118)+100</f>
        <v>100</v>
      </c>
      <c r="I40" s="572" t="s">
        <v>3026</v>
      </c>
      <c r="J40" s="538">
        <f>SUMIF(117:117,I40,118:118)-SUMIF(117:117,C40,118:118)+100</f>
        <v>100</v>
      </c>
      <c r="K40" s="582"/>
      <c r="L40" s="2141"/>
      <c r="M40" s="2133"/>
      <c r="N40" s="2133"/>
      <c r="O40" s="2133"/>
      <c r="P40" s="3651"/>
      <c r="Q40" s="1570" t="str">
        <f t="shared" si="11"/>
        <v>市政基础设施</v>
      </c>
      <c r="R40" s="1571" t="s">
        <v>8</v>
      </c>
      <c r="S40" s="1572">
        <f t="shared" si="12"/>
        <v>100</v>
      </c>
      <c r="T40" s="1571" t="s">
        <v>8</v>
      </c>
      <c r="U40" s="1572">
        <f t="shared" si="13"/>
        <v>100</v>
      </c>
      <c r="V40" s="1571" t="s">
        <v>8</v>
      </c>
      <c r="W40" s="1572">
        <f t="shared" si="14"/>
        <v>100</v>
      </c>
      <c r="X40" s="1565"/>
      <c r="Y40" s="3651"/>
      <c r="Z40" s="1573" t="str">
        <f t="shared" si="15"/>
        <v>市政基础设施</v>
      </c>
      <c r="AA40" s="1574">
        <f t="shared" si="3"/>
        <v>1</v>
      </c>
      <c r="AB40" s="1574">
        <f t="shared" si="4"/>
        <v>1</v>
      </c>
      <c r="AC40" s="1574">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651"/>
      <c r="Q41" s="1570" t="str">
        <f t="shared" si="11"/>
        <v>层高</v>
      </c>
      <c r="R41" s="1571" t="s">
        <v>8</v>
      </c>
      <c r="S41" s="1572">
        <f t="shared" si="12"/>
        <v>100</v>
      </c>
      <c r="T41" s="1571" t="s">
        <v>8</v>
      </c>
      <c r="U41" s="1572">
        <f t="shared" si="13"/>
        <v>100</v>
      </c>
      <c r="V41" s="1571" t="s">
        <v>8</v>
      </c>
      <c r="W41" s="1572">
        <f t="shared" si="14"/>
        <v>100</v>
      </c>
      <c r="X41" s="1565"/>
      <c r="Y41" s="3651"/>
      <c r="Z41" s="1573" t="str">
        <f t="shared" si="15"/>
        <v>层高</v>
      </c>
      <c r="AA41" s="1574">
        <f t="shared" si="3"/>
        <v>1</v>
      </c>
      <c r="AB41" s="1574">
        <f t="shared" si="4"/>
        <v>1</v>
      </c>
      <c r="AC41" s="1574">
        <f t="shared" si="5"/>
        <v>1</v>
      </c>
    </row>
    <row r="42" spans="1:29" s="1336"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651"/>
      <c r="Q42" s="1603" t="str">
        <f t="shared" si="11"/>
        <v>单套建筑面积</v>
      </c>
      <c r="R42" s="1575" t="s">
        <v>8</v>
      </c>
      <c r="S42" s="1576">
        <f t="shared" si="12"/>
        <v>100</v>
      </c>
      <c r="T42" s="1575" t="s">
        <v>8</v>
      </c>
      <c r="U42" s="1576">
        <f t="shared" si="13"/>
        <v>100</v>
      </c>
      <c r="V42" s="1575" t="s">
        <v>8</v>
      </c>
      <c r="W42" s="1576">
        <f t="shared" si="14"/>
        <v>100</v>
      </c>
      <c r="X42" s="1577"/>
      <c r="Y42" s="3651"/>
      <c r="Z42" s="1578" t="str">
        <f t="shared" si="15"/>
        <v>单套建筑面积</v>
      </c>
      <c r="AA42" s="1574">
        <f t="shared" si="3"/>
        <v>1</v>
      </c>
      <c r="AB42" s="1574">
        <f t="shared" si="4"/>
        <v>1</v>
      </c>
      <c r="AC42" s="1574">
        <f t="shared" si="5"/>
        <v>1</v>
      </c>
    </row>
    <row r="43" spans="1:29" ht="15">
      <c r="A43" s="592"/>
      <c r="B43" s="525" t="s">
        <v>770</v>
      </c>
      <c r="C43" s="572" t="s">
        <v>3039</v>
      </c>
      <c r="D43" s="538">
        <v>100</v>
      </c>
      <c r="E43" s="572" t="s">
        <v>3041</v>
      </c>
      <c r="F43" s="573">
        <f>SUMIF(123:123,E43,124:124)-SUMIF(123:123,C43,124:124)+100</f>
        <v>98</v>
      </c>
      <c r="G43" s="572" t="s">
        <v>3041</v>
      </c>
      <c r="H43" s="538">
        <f>SUMIF(123:123,G43,124:124)-SUMIF(123:123,C43,124:124)+100</f>
        <v>98</v>
      </c>
      <c r="I43" s="572" t="s">
        <v>3041</v>
      </c>
      <c r="J43" s="538">
        <f>SUMIF(123:123,I43,124:124)-SUMIF(123:123,C43,124:124)+100</f>
        <v>98</v>
      </c>
      <c r="K43" s="3287">
        <v>2</v>
      </c>
      <c r="L43" s="2141"/>
      <c r="M43" s="2133"/>
      <c r="N43" s="2133"/>
      <c r="O43" s="2133"/>
      <c r="P43" s="3651"/>
      <c r="Q43" s="1570" t="str">
        <f t="shared" si="11"/>
        <v>内部装修</v>
      </c>
      <c r="R43" s="1571" t="s">
        <v>8</v>
      </c>
      <c r="S43" s="1572">
        <f t="shared" si="12"/>
        <v>98</v>
      </c>
      <c r="T43" s="1571" t="s">
        <v>8</v>
      </c>
      <c r="U43" s="1572">
        <f t="shared" si="13"/>
        <v>98</v>
      </c>
      <c r="V43" s="1571" t="s">
        <v>8</v>
      </c>
      <c r="W43" s="1572">
        <f t="shared" si="14"/>
        <v>98</v>
      </c>
      <c r="X43" s="1565"/>
      <c r="Y43" s="3651"/>
      <c r="Z43" s="1573" t="str">
        <f t="shared" si="15"/>
        <v>内部装修</v>
      </c>
      <c r="AA43" s="1574">
        <f t="shared" si="3"/>
        <v>1.0204081632653061</v>
      </c>
      <c r="AB43" s="1574">
        <f t="shared" si="4"/>
        <v>1.0204081632653061</v>
      </c>
      <c r="AC43" s="1574">
        <f t="shared" si="5"/>
        <v>1.0204081632653061</v>
      </c>
    </row>
    <row r="44" spans="1:29" ht="27">
      <c r="A44" s="592"/>
      <c r="B44" s="525" t="s">
        <v>735</v>
      </c>
      <c r="C44" s="572" t="s">
        <v>3024</v>
      </c>
      <c r="D44" s="538">
        <v>100</v>
      </c>
      <c r="E44" s="597" t="s">
        <v>3024</v>
      </c>
      <c r="F44" s="573">
        <f>SUMIF(125:125,E44,126:126)-SUMIF(125:125,C44,126:126)+100</f>
        <v>100</v>
      </c>
      <c r="G44" s="597" t="s">
        <v>3024</v>
      </c>
      <c r="H44" s="538">
        <f>SUMIF(125:125,G44,126:126)-SUMIF(125:125,C44,126:126)+100</f>
        <v>100</v>
      </c>
      <c r="I44" s="597" t="s">
        <v>3024</v>
      </c>
      <c r="J44" s="538">
        <f>SUMIF(125:125,I44,126:126)-SUMIF(125:125,C44,126:126)+100</f>
        <v>100</v>
      </c>
      <c r="K44" s="582"/>
      <c r="L44" s="2141"/>
      <c r="M44" s="2133"/>
      <c r="N44" s="2133"/>
      <c r="O44" s="2133"/>
      <c r="P44" s="3651"/>
      <c r="Q44" s="1570" t="str">
        <f t="shared" si="11"/>
        <v>内部装修维护情况</v>
      </c>
      <c r="R44" s="1571" t="s">
        <v>8</v>
      </c>
      <c r="S44" s="1572">
        <f t="shared" si="12"/>
        <v>100</v>
      </c>
      <c r="T44" s="1571" t="s">
        <v>8</v>
      </c>
      <c r="U44" s="1572">
        <f t="shared" si="13"/>
        <v>100</v>
      </c>
      <c r="V44" s="1571" t="s">
        <v>8</v>
      </c>
      <c r="W44" s="1572">
        <f t="shared" si="14"/>
        <v>100</v>
      </c>
      <c r="X44" s="1565"/>
      <c r="Y44" s="3651"/>
      <c r="Z44" s="1573" t="str">
        <f t="shared" si="15"/>
        <v>内部装修维护情况</v>
      </c>
      <c r="AA44" s="1574">
        <f t="shared" si="3"/>
        <v>1</v>
      </c>
      <c r="AB44" s="1574">
        <f t="shared" si="4"/>
        <v>1</v>
      </c>
      <c r="AC44" s="1574">
        <f t="shared" si="5"/>
        <v>1</v>
      </c>
    </row>
    <row r="45" spans="1:29" s="1217" customFormat="1" ht="15.75" thickBot="1">
      <c r="A45" s="598"/>
      <c r="B45" s="3187" t="s">
        <v>3044</v>
      </c>
      <c r="C45" s="878">
        <v>2014</v>
      </c>
      <c r="D45" s="253">
        <v>100</v>
      </c>
      <c r="E45" s="526">
        <v>2009</v>
      </c>
      <c r="F45" s="861">
        <f>SUMIF(127:127,E45,128:128)-SUMIF(127:127,C45,128:128)+100</f>
        <v>99</v>
      </c>
      <c r="G45" s="526">
        <v>2002</v>
      </c>
      <c r="H45" s="253">
        <f>SUMIF(127:127,G45,128:128)-SUMIF(127:127,C45,128:128)+100</f>
        <v>97.6</v>
      </c>
      <c r="I45" s="526">
        <v>1998</v>
      </c>
      <c r="J45" s="253">
        <f>SUMIF(127:127,I45,128:128)-SUMIF(127:127,C45,128:128)+100</f>
        <v>96.8</v>
      </c>
      <c r="K45" s="579"/>
      <c r="L45" s="2134"/>
      <c r="M45" s="2135"/>
      <c r="N45" s="2135"/>
      <c r="O45" s="2135"/>
      <c r="P45" s="3651"/>
      <c r="Q45" s="1148" t="str">
        <f t="shared" si="11"/>
        <v>建成年代</v>
      </c>
      <c r="R45" s="1566" t="s">
        <v>8</v>
      </c>
      <c r="S45" s="1567">
        <f t="shared" si="12"/>
        <v>99</v>
      </c>
      <c r="T45" s="1566" t="s">
        <v>8</v>
      </c>
      <c r="U45" s="1567">
        <f t="shared" si="13"/>
        <v>97.6</v>
      </c>
      <c r="V45" s="1566" t="s">
        <v>8</v>
      </c>
      <c r="W45" s="1567">
        <f t="shared" si="14"/>
        <v>96.8</v>
      </c>
      <c r="X45" s="1568"/>
      <c r="Y45" s="3651"/>
      <c r="Z45" s="1147" t="str">
        <f t="shared" si="15"/>
        <v>建成年代</v>
      </c>
      <c r="AA45" s="1569">
        <f t="shared" si="3"/>
        <v>1.0101010101010102</v>
      </c>
      <c r="AB45" s="1569">
        <f t="shared" si="4"/>
        <v>1.0245901639344264</v>
      </c>
      <c r="AC45" s="1569">
        <f t="shared" si="5"/>
        <v>1.0330578512396695</v>
      </c>
    </row>
    <row r="46" spans="1:29" ht="12.75" hidden="1" customHeight="1">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651"/>
      <c r="Q46" s="1570">
        <f t="shared" si="11"/>
        <v>111</v>
      </c>
      <c r="R46" s="1571" t="s">
        <v>8</v>
      </c>
      <c r="S46" s="1572">
        <f t="shared" si="12"/>
        <v>100</v>
      </c>
      <c r="T46" s="1571" t="s">
        <v>8</v>
      </c>
      <c r="U46" s="1572">
        <f t="shared" si="13"/>
        <v>100</v>
      </c>
      <c r="V46" s="1571" t="s">
        <v>8</v>
      </c>
      <c r="W46" s="1572">
        <f t="shared" si="14"/>
        <v>100</v>
      </c>
      <c r="X46" s="1565"/>
      <c r="Y46" s="3651"/>
      <c r="Z46" s="1573">
        <f t="shared" si="15"/>
        <v>111</v>
      </c>
      <c r="AA46" s="1574">
        <f t="shared" si="3"/>
        <v>1</v>
      </c>
      <c r="AB46" s="1574">
        <f t="shared" si="4"/>
        <v>1</v>
      </c>
      <c r="AC46" s="1574">
        <f t="shared" si="5"/>
        <v>1</v>
      </c>
    </row>
    <row r="47" spans="1:29" ht="15.75" hidden="1"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728"/>
      <c r="Q47" s="1570">
        <f t="shared" si="11"/>
        <v>111</v>
      </c>
      <c r="R47" s="1571" t="s">
        <v>8</v>
      </c>
      <c r="S47" s="1572">
        <f t="shared" si="12"/>
        <v>100</v>
      </c>
      <c r="T47" s="1571" t="s">
        <v>8</v>
      </c>
      <c r="U47" s="1572">
        <f t="shared" si="13"/>
        <v>100</v>
      </c>
      <c r="V47" s="1571" t="s">
        <v>8</v>
      </c>
      <c r="W47" s="1572">
        <f t="shared" si="14"/>
        <v>100</v>
      </c>
      <c r="X47" s="1565"/>
      <c r="Y47" s="3728"/>
      <c r="Z47" s="1573">
        <f t="shared" si="15"/>
        <v>111</v>
      </c>
      <c r="AA47" s="1574">
        <f t="shared" si="3"/>
        <v>1</v>
      </c>
      <c r="AB47" s="1574">
        <f t="shared" si="4"/>
        <v>1</v>
      </c>
      <c r="AC47" s="1574">
        <f t="shared" si="5"/>
        <v>1</v>
      </c>
    </row>
    <row r="48" spans="1:29" ht="15">
      <c r="A48" s="605" t="s">
        <v>736</v>
      </c>
      <c r="B48" s="885"/>
      <c r="C48" s="2648" t="s">
        <v>1</v>
      </c>
      <c r="D48" s="2649"/>
      <c r="E48" s="2650">
        <v>62319</v>
      </c>
      <c r="F48" s="2651"/>
      <c r="G48" s="2652">
        <v>64512</v>
      </c>
      <c r="H48" s="2653"/>
      <c r="I48" s="2650">
        <v>64430</v>
      </c>
      <c r="J48" s="2653"/>
      <c r="K48" s="1609"/>
      <c r="L48" s="2143"/>
      <c r="M48" s="2133"/>
      <c r="N48" s="2133"/>
      <c r="O48" s="2133"/>
      <c r="P48" s="3612" t="str">
        <f>A48</f>
        <v>成交单价（元/平方米）</v>
      </c>
      <c r="Q48" s="3614"/>
      <c r="R48" s="3727">
        <f>E48</f>
        <v>62319</v>
      </c>
      <c r="S48" s="3727"/>
      <c r="T48" s="3727">
        <f>G48</f>
        <v>64512</v>
      </c>
      <c r="U48" s="3727"/>
      <c r="V48" s="3727">
        <f>I48</f>
        <v>64430</v>
      </c>
      <c r="W48" s="3727"/>
      <c r="X48" s="1557"/>
      <c r="Y48" s="1579"/>
      <c r="Z48" s="1557"/>
      <c r="AA48" s="1557"/>
      <c r="AB48" s="1557"/>
      <c r="AC48" s="1557"/>
    </row>
    <row r="49" spans="1:29" ht="15.75" thickBot="1">
      <c r="A49" s="613" t="s">
        <v>2764</v>
      </c>
      <c r="B49" s="886"/>
      <c r="C49" s="2654">
        <f>R50</f>
        <v>65586</v>
      </c>
      <c r="D49" s="2655"/>
      <c r="E49" s="2656">
        <f>R49</f>
        <v>62768</v>
      </c>
      <c r="F49" s="2656"/>
      <c r="G49" s="2654">
        <f>T49</f>
        <v>65578</v>
      </c>
      <c r="H49" s="2655"/>
      <c r="I49" s="2656">
        <f>V49</f>
        <v>68411</v>
      </c>
      <c r="J49" s="2655"/>
      <c r="K49" s="1610"/>
      <c r="L49" s="2143"/>
      <c r="M49" s="2133"/>
      <c r="N49" s="2133"/>
      <c r="O49" s="2133"/>
      <c r="P49" s="3612" t="str">
        <f>A49</f>
        <v>比较价格（元/平方米）</v>
      </c>
      <c r="Q49" s="3614"/>
      <c r="R49" s="3727">
        <f>IF(F1="售价",ROUND(PRODUCT(R48,AA7:AA47),0),ROUND(PRODUCT(R48,AA7:AA47),1))</f>
        <v>62768</v>
      </c>
      <c r="S49" s="3727"/>
      <c r="T49" s="3727">
        <f>IF(F1="售价",ROUND(PRODUCT(T48,AB7:AB47),0),ROUND(PRODUCT(T48,AB7:AB47),1))</f>
        <v>65578</v>
      </c>
      <c r="U49" s="3727"/>
      <c r="V49" s="3727">
        <f>IF(F1="售价",ROUND(PRODUCT(V48,AC7:AC47),0),ROUND(PRODUCT(V48,AC7:AC47),1))</f>
        <v>68411</v>
      </c>
      <c r="W49" s="3727"/>
      <c r="X49" s="1557"/>
      <c r="Y49" s="1557"/>
      <c r="Z49" s="1557"/>
      <c r="AA49" s="1557"/>
      <c r="AB49" s="1557"/>
      <c r="AC49" s="1557"/>
    </row>
    <row r="50" spans="1:29" ht="15.75" thickBot="1">
      <c r="A50" s="619" t="s">
        <v>2936</v>
      </c>
      <c r="B50" s="620"/>
      <c r="C50" s="2657">
        <f>R50</f>
        <v>65586</v>
      </c>
      <c r="D50" s="2657"/>
      <c r="E50" s="2657"/>
      <c r="F50" s="2657"/>
      <c r="G50" s="2657"/>
      <c r="H50" s="2657"/>
      <c r="I50" s="2657"/>
      <c r="J50" s="2657"/>
      <c r="K50" s="1611"/>
      <c r="L50" s="2143"/>
      <c r="M50" s="2133"/>
      <c r="N50" s="2133"/>
      <c r="O50" s="2133"/>
      <c r="P50" s="3729" t="str">
        <f>A50</f>
        <v>估价对象XX用房的比较价格（楼面单价，元/平方米）</v>
      </c>
      <c r="Q50" s="3612"/>
      <c r="R50" s="3726">
        <f>IF(F1="售价",ROUND(AVERAGE(R49:V49),0),ROUND(AVERAGE(R49:V49),1))</f>
        <v>65586</v>
      </c>
      <c r="S50" s="3726"/>
      <c r="T50" s="3726"/>
      <c r="U50" s="3726"/>
      <c r="V50" s="3726"/>
      <c r="W50" s="372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f>IF(E48&lt;E49,E49/E48-1,E48/E49-1)</f>
        <v>7.204865289879514E-3</v>
      </c>
      <c r="F53" s="625" t="str">
        <f>IF(OR(E53&gt;=0.3,E53&lt;=-0.3),"超过30%","")</f>
        <v/>
      </c>
      <c r="G53" s="624">
        <f>IF(G48&lt;G49,G49/G48-1,G48/G49-1)</f>
        <v>1.6524057539682557E-2</v>
      </c>
      <c r="H53" s="625" t="str">
        <f>IF(OR(G53&gt;=0.3,G53&lt;=-0.3),"超过30%","")</f>
        <v/>
      </c>
      <c r="I53" s="624">
        <f>IF(I48&lt;I49,I49/I48-1,I48/I49-1)</f>
        <v>6.1787986962595021E-2</v>
      </c>
      <c r="J53" s="625"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f>IF(E49&lt;G49,G49/E49-1,E49/G49-1)</f>
        <v>4.4768034667346468E-2</v>
      </c>
      <c r="F54" s="625" t="str">
        <f>IF(OR(E54&gt;=0.2,E54&lt;=-0.2),"超过20%","")</f>
        <v/>
      </c>
      <c r="G54" s="624">
        <f>IF(G49&lt;I49,I49/G49-1,G49/I49-1)</f>
        <v>4.3200463570099767E-2</v>
      </c>
      <c r="H54" s="625" t="str">
        <f>IF(OR(G54&gt;=0.2,G54&lt;=-0.2),"超过20%","")</f>
        <v/>
      </c>
      <c r="I54" s="624">
        <f>IF(I49&lt;E49,E49/I49-1,I49/E49-1)</f>
        <v>8.9902498088197724E-2</v>
      </c>
      <c r="J54" s="625"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f>IF(E48&lt;G48,G48/E48-1,E48/G48-1)</f>
        <v>3.5189909979300049E-2</v>
      </c>
      <c r="F55" s="625" t="str">
        <f>IF(OR(E55&gt;=0.3,E55&lt;=-0.3),"超过30%","")</f>
        <v/>
      </c>
      <c r="G55" s="624">
        <f>IF(G48&lt;I48,I48/G48-1,G48/I48-1)</f>
        <v>1.272699053236126E-3</v>
      </c>
      <c r="H55" s="625" t="str">
        <f>IF(OR(G55&gt;=0.3,G55&lt;=-0.3),"超过30%","")</f>
        <v/>
      </c>
      <c r="I55" s="624">
        <f>IF(I48&lt;E48,E48/I48-1,I48/E48-1)</f>
        <v>3.3874099391838719E-2</v>
      </c>
      <c r="J55" s="625"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3" t="s">
        <v>529</v>
      </c>
      <c r="B59" s="644"/>
      <c r="C59" s="2821" t="str">
        <f>YEAR(C7)&amp;"-"&amp;MONTH(C7)</f>
        <v>2018-10</v>
      </c>
      <c r="D59" s="2823">
        <f>EDATE(C59,-1)</f>
        <v>43344</v>
      </c>
      <c r="E59" s="2823">
        <f t="shared" ref="E59:O59" si="16">EDATE(D59,-1)</f>
        <v>43313</v>
      </c>
      <c r="F59" s="2823">
        <f t="shared" si="16"/>
        <v>43282</v>
      </c>
      <c r="G59" s="2823">
        <f t="shared" si="16"/>
        <v>43252</v>
      </c>
      <c r="H59" s="2823">
        <f t="shared" si="16"/>
        <v>43221</v>
      </c>
      <c r="I59" s="2823">
        <f t="shared" si="16"/>
        <v>43191</v>
      </c>
      <c r="J59" s="2823">
        <f t="shared" si="16"/>
        <v>43160</v>
      </c>
      <c r="K59" s="2823">
        <f t="shared" si="16"/>
        <v>43132</v>
      </c>
      <c r="L59" s="2823">
        <f t="shared" si="16"/>
        <v>43101</v>
      </c>
      <c r="M59" s="2823">
        <f t="shared" si="16"/>
        <v>43070</v>
      </c>
      <c r="N59" s="2823">
        <f t="shared" si="16"/>
        <v>43040</v>
      </c>
      <c r="O59" s="2823">
        <f t="shared" si="16"/>
        <v>43009</v>
      </c>
      <c r="P59" s="2210"/>
      <c r="Q59" s="2160"/>
      <c r="R59" s="2160"/>
      <c r="S59" s="2160"/>
      <c r="T59" s="2160"/>
      <c r="U59" s="2160"/>
      <c r="V59" s="2160"/>
      <c r="W59" s="2160"/>
      <c r="X59" s="2160"/>
      <c r="Y59" s="2160"/>
      <c r="Z59" s="2160"/>
      <c r="AA59" s="2160"/>
      <c r="AB59" s="2160"/>
      <c r="AC59" s="2160"/>
    </row>
    <row r="60" spans="1:29" s="1217" customFormat="1" ht="15">
      <c r="A60" s="645"/>
      <c r="B60" s="646"/>
      <c r="C60" s="647">
        <v>100</v>
      </c>
      <c r="D60" s="648">
        <v>99.8</v>
      </c>
      <c r="E60" s="648">
        <v>99.6</v>
      </c>
      <c r="F60" s="648">
        <v>99.4</v>
      </c>
      <c r="G60" s="648">
        <v>99.2</v>
      </c>
      <c r="H60" s="648">
        <v>99</v>
      </c>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7" customFormat="1" ht="15.75" thickBot="1">
      <c r="A61" s="651" t="s">
        <v>575</v>
      </c>
      <c r="B61" s="652"/>
      <c r="C61" s="653">
        <v>100</v>
      </c>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7" customFormat="1" ht="15">
      <c r="A62" s="657" t="s">
        <v>531</v>
      </c>
      <c r="B62" s="646"/>
      <c r="C62" s="658" t="s">
        <v>576</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577</v>
      </c>
      <c r="B64" s="663" t="s">
        <v>534</v>
      </c>
      <c r="C64" s="702" t="str">
        <f>C9</f>
        <v>办公</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99.5</v>
      </c>
      <c r="G67" s="677">
        <f>F67-$K10</f>
        <v>99</v>
      </c>
      <c r="H67" s="677">
        <f>G67-$K10</f>
        <v>98.5</v>
      </c>
      <c r="I67" s="677">
        <f>H67-$K10</f>
        <v>98</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v>100</v>
      </c>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539</v>
      </c>
      <c r="B77" s="663" t="s">
        <v>585</v>
      </c>
      <c r="C77" s="701" t="s">
        <v>579</v>
      </c>
      <c r="D77" s="701" t="s">
        <v>580</v>
      </c>
      <c r="E77" s="701" t="s">
        <v>581</v>
      </c>
      <c r="F77" s="701" t="s">
        <v>582</v>
      </c>
      <c r="G77" s="701" t="s">
        <v>583</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98</v>
      </c>
      <c r="E78" s="677">
        <f>D78-$K15</f>
        <v>96</v>
      </c>
      <c r="F78" s="677">
        <f>E78-$K15</f>
        <v>94</v>
      </c>
      <c r="G78" s="677">
        <f>F78-$K15</f>
        <v>92</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586</v>
      </c>
      <c r="C79" s="706" t="s">
        <v>579</v>
      </c>
      <c r="D79" s="706" t="s">
        <v>580</v>
      </c>
      <c r="E79" s="706" t="s">
        <v>581</v>
      </c>
      <c r="F79" s="706" t="s">
        <v>582</v>
      </c>
      <c r="G79" s="706" t="s">
        <v>583</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99</v>
      </c>
      <c r="E80" s="677">
        <f>D80-$K17</f>
        <v>98</v>
      </c>
      <c r="F80" s="677">
        <f>E80-$K17</f>
        <v>97</v>
      </c>
      <c r="G80" s="677">
        <f>F80-$K17</f>
        <v>96</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2561</v>
      </c>
      <c r="C81" s="706" t="s">
        <v>579</v>
      </c>
      <c r="D81" s="706" t="s">
        <v>580</v>
      </c>
      <c r="E81" s="706" t="s">
        <v>581</v>
      </c>
      <c r="F81" s="706" t="s">
        <v>582</v>
      </c>
      <c r="G81" s="706" t="s">
        <v>583</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18" t="s">
        <v>2562</v>
      </c>
      <c r="C83" s="2619" t="s">
        <v>2563</v>
      </c>
      <c r="D83" s="2619" t="s">
        <v>2564</v>
      </c>
      <c r="E83" s="2619" t="s">
        <v>2565</v>
      </c>
      <c r="F83" s="2619" t="s">
        <v>2566</v>
      </c>
      <c r="G83" s="2619" t="s">
        <v>2567</v>
      </c>
      <c r="H83" s="672"/>
      <c r="I83" s="672"/>
      <c r="J83" s="672"/>
      <c r="K83" s="672"/>
      <c r="L83" s="672"/>
      <c r="M83" s="2622"/>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784</v>
      </c>
      <c r="C85" s="706" t="s">
        <v>579</v>
      </c>
      <c r="D85" s="706" t="s">
        <v>580</v>
      </c>
      <c r="E85" s="706" t="s">
        <v>581</v>
      </c>
      <c r="F85" s="706" t="s">
        <v>582</v>
      </c>
      <c r="G85" s="706" t="s">
        <v>583</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98</v>
      </c>
      <c r="E86" s="677">
        <f>D86-$K23</f>
        <v>96</v>
      </c>
      <c r="F86" s="677">
        <f>E86-$K23</f>
        <v>94</v>
      </c>
      <c r="G86" s="677">
        <f>F86-$K23</f>
        <v>92</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7"/>
      <c r="B87" s="671" t="s">
        <v>785</v>
      </c>
      <c r="C87" s="3182"/>
      <c r="D87" s="3182"/>
      <c r="E87" s="3182"/>
      <c r="F87" s="3188"/>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7"/>
      <c r="B89" s="671" t="str">
        <f>B27</f>
        <v>楼层</v>
      </c>
      <c r="C89" s="686">
        <v>1</v>
      </c>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41.25" thickTop="1">
      <c r="A93" s="667"/>
      <c r="B93" s="671" t="str">
        <f>B29</f>
        <v>毗邻道路的类型与等级</v>
      </c>
      <c r="C93" s="3182" t="s">
        <v>3084</v>
      </c>
      <c r="D93" s="3182" t="s">
        <v>3133</v>
      </c>
      <c r="E93" s="3182" t="s">
        <v>3135</v>
      </c>
      <c r="F93" s="3188"/>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v>100</v>
      </c>
      <c r="D94" s="669">
        <v>100</v>
      </c>
      <c r="E94" s="669">
        <v>98</v>
      </c>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551</v>
      </c>
      <c r="B101" s="663" t="s">
        <v>747</v>
      </c>
      <c r="C101" s="3186" t="s">
        <v>3033</v>
      </c>
      <c r="D101" s="596" t="s">
        <v>3027</v>
      </c>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95</v>
      </c>
      <c r="E102" s="677">
        <f t="shared" si="22"/>
        <v>90</v>
      </c>
      <c r="F102" s="677">
        <f t="shared" si="22"/>
        <v>85</v>
      </c>
      <c r="G102" s="677">
        <f t="shared" si="22"/>
        <v>80</v>
      </c>
      <c r="H102" s="677">
        <f t="shared" si="22"/>
        <v>75</v>
      </c>
      <c r="I102" s="677">
        <f t="shared" si="22"/>
        <v>70</v>
      </c>
      <c r="J102" s="677">
        <f t="shared" si="22"/>
        <v>65</v>
      </c>
      <c r="K102" s="677">
        <f t="shared" si="22"/>
        <v>60</v>
      </c>
      <c r="L102" s="677">
        <f t="shared" si="22"/>
        <v>55</v>
      </c>
      <c r="M102" s="678">
        <f t="shared" si="22"/>
        <v>50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6"/>
      <c r="B104" s="727"/>
      <c r="C104" s="728">
        <v>1</v>
      </c>
      <c r="D104" s="728">
        <v>10000</v>
      </c>
      <c r="E104" s="728">
        <v>50000</v>
      </c>
      <c r="F104" s="728">
        <v>100000</v>
      </c>
      <c r="G104" s="728">
        <v>150000</v>
      </c>
      <c r="H104" s="728">
        <v>200000</v>
      </c>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5"/>
      <c r="B105" s="676"/>
      <c r="C105" s="690">
        <v>100</v>
      </c>
      <c r="D105" s="669">
        <v>99.5</v>
      </c>
      <c r="E105" s="669">
        <v>99</v>
      </c>
      <c r="F105" s="669">
        <v>98.5</v>
      </c>
      <c r="G105" s="669">
        <v>98</v>
      </c>
      <c r="H105" s="669">
        <v>97.5</v>
      </c>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749</v>
      </c>
      <c r="C106" s="3185" t="s">
        <v>3031</v>
      </c>
      <c r="D106" s="3184" t="s">
        <v>3029</v>
      </c>
      <c r="E106" s="3184" t="s">
        <v>3028</v>
      </c>
      <c r="F106" s="3184"/>
      <c r="G106" s="3184"/>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751</v>
      </c>
      <c r="C108" s="3184" t="s">
        <v>3040</v>
      </c>
      <c r="D108" s="3184" t="s">
        <v>3042</v>
      </c>
      <c r="E108" s="3184" t="s">
        <v>3043</v>
      </c>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97</v>
      </c>
      <c r="E109" s="677">
        <f t="shared" si="25"/>
        <v>94</v>
      </c>
      <c r="F109" s="677">
        <f t="shared" si="25"/>
        <v>91</v>
      </c>
      <c r="G109" s="677">
        <f t="shared" si="25"/>
        <v>88</v>
      </c>
      <c r="H109" s="677">
        <f t="shared" si="25"/>
        <v>85</v>
      </c>
      <c r="I109" s="677">
        <f t="shared" si="25"/>
        <v>82</v>
      </c>
      <c r="J109" s="677">
        <f t="shared" si="25"/>
        <v>79</v>
      </c>
      <c r="K109" s="677">
        <f t="shared" si="25"/>
        <v>76</v>
      </c>
      <c r="L109" s="677">
        <f t="shared" si="25"/>
        <v>73</v>
      </c>
      <c r="M109" s="678">
        <f t="shared" si="25"/>
        <v>70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6"/>
      <c r="B113" s="671" t="s">
        <v>786</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753</v>
      </c>
      <c r="C115" s="3184" t="s">
        <v>3035</v>
      </c>
      <c r="D115" s="3184" t="s">
        <v>3036</v>
      </c>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2560</v>
      </c>
      <c r="C117" s="3184" t="s">
        <v>3037</v>
      </c>
      <c r="D117" s="3184" t="s">
        <v>3038</v>
      </c>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787</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6"/>
      <c r="B121" s="671" t="s">
        <v>775</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755</v>
      </c>
      <c r="C123" s="3184" t="s">
        <v>3040</v>
      </c>
      <c r="D123" s="3184" t="s">
        <v>3042</v>
      </c>
      <c r="E123" s="3184" t="s">
        <v>3043</v>
      </c>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6"/>
      <c r="B127" s="671" t="str">
        <f>B45</f>
        <v>建成年代</v>
      </c>
      <c r="C127" s="686">
        <v>2014</v>
      </c>
      <c r="D127" s="686">
        <v>2013</v>
      </c>
      <c r="E127" s="686">
        <v>2012</v>
      </c>
      <c r="F127" s="686">
        <v>2011</v>
      </c>
      <c r="G127" s="686">
        <v>2010</v>
      </c>
      <c r="H127" s="686">
        <v>2009</v>
      </c>
      <c r="I127" s="686">
        <v>2008</v>
      </c>
      <c r="J127" s="686">
        <v>2007</v>
      </c>
      <c r="K127" s="686">
        <v>2006</v>
      </c>
      <c r="L127" s="686">
        <v>2005</v>
      </c>
      <c r="M127" s="686">
        <v>2004</v>
      </c>
      <c r="N127" s="686">
        <v>2003</v>
      </c>
      <c r="O127" s="686">
        <v>2002</v>
      </c>
      <c r="P127" s="686">
        <v>2001</v>
      </c>
      <c r="Q127" s="686">
        <v>2000</v>
      </c>
      <c r="R127" s="686">
        <v>1999</v>
      </c>
      <c r="S127" s="686">
        <v>1998</v>
      </c>
      <c r="T127" s="686">
        <v>1997</v>
      </c>
      <c r="U127" s="686">
        <v>1996</v>
      </c>
      <c r="V127" s="686">
        <v>1995</v>
      </c>
      <c r="W127" s="686">
        <v>1994</v>
      </c>
      <c r="X127" s="686">
        <v>1993</v>
      </c>
      <c r="Y127" s="686">
        <v>1992</v>
      </c>
      <c r="Z127" s="686">
        <v>1991</v>
      </c>
      <c r="AA127" s="2169"/>
      <c r="AB127" s="2169"/>
      <c r="AC127" s="2169"/>
    </row>
    <row r="128" spans="1:29" s="1336" customFormat="1" ht="15.75" thickBot="1">
      <c r="A128" s="685"/>
      <c r="B128" s="676"/>
      <c r="C128" s="690">
        <v>100</v>
      </c>
      <c r="D128" s="669">
        <v>99.8</v>
      </c>
      <c r="E128" s="690">
        <v>99.6</v>
      </c>
      <c r="F128" s="669">
        <v>99.4</v>
      </c>
      <c r="G128" s="690">
        <v>99.2</v>
      </c>
      <c r="H128" s="669">
        <v>99</v>
      </c>
      <c r="I128" s="690">
        <v>98.8</v>
      </c>
      <c r="J128" s="669">
        <v>98.6</v>
      </c>
      <c r="K128" s="690">
        <v>98.4</v>
      </c>
      <c r="L128" s="669">
        <v>98.2</v>
      </c>
      <c r="M128" s="690">
        <v>98</v>
      </c>
      <c r="N128" s="669">
        <v>97.8</v>
      </c>
      <c r="O128" s="690">
        <v>97.6</v>
      </c>
      <c r="P128" s="669">
        <v>97.4</v>
      </c>
      <c r="Q128" s="690">
        <v>97.2</v>
      </c>
      <c r="R128" s="690">
        <v>97</v>
      </c>
      <c r="S128" s="669">
        <v>96.8</v>
      </c>
      <c r="T128" s="690">
        <v>96.600000000000094</v>
      </c>
      <c r="U128" s="690">
        <v>96.400000000000105</v>
      </c>
      <c r="V128" s="669">
        <v>96.200000000000102</v>
      </c>
      <c r="W128" s="690">
        <v>96.000000000000099</v>
      </c>
      <c r="X128" s="690">
        <v>95.800000000000097</v>
      </c>
      <c r="Y128" s="669">
        <v>95.600000000000094</v>
      </c>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521</v>
      </c>
      <c r="B4" s="511"/>
      <c r="C4" s="3620" t="s">
        <v>522</v>
      </c>
      <c r="D4" s="3621"/>
      <c r="E4" s="3654" t="s">
        <v>523</v>
      </c>
      <c r="F4" s="3655"/>
      <c r="G4" s="3620" t="s">
        <v>524</v>
      </c>
      <c r="H4" s="3621"/>
      <c r="I4" s="3620" t="s">
        <v>525</v>
      </c>
      <c r="J4" s="3621"/>
      <c r="K4" s="512" t="s">
        <v>526</v>
      </c>
      <c r="L4" s="2132"/>
      <c r="M4" s="2133"/>
      <c r="N4" s="2133"/>
      <c r="O4" s="2133"/>
      <c r="P4" s="3622" t="s">
        <v>527</v>
      </c>
      <c r="Q4" s="3623"/>
      <c r="R4" s="3628" t="s">
        <v>523</v>
      </c>
      <c r="S4" s="3629"/>
      <c r="T4" s="3628" t="s">
        <v>524</v>
      </c>
      <c r="U4" s="3629"/>
      <c r="V4" s="3615" t="s">
        <v>525</v>
      </c>
      <c r="W4" s="3615"/>
      <c r="X4" s="1565"/>
      <c r="Y4" s="3628" t="s">
        <v>527</v>
      </c>
      <c r="Z4" s="3629"/>
      <c r="AA4" s="3617" t="s">
        <v>523</v>
      </c>
      <c r="AB4" s="3618" t="s">
        <v>524</v>
      </c>
      <c r="AC4" s="3617" t="s">
        <v>525</v>
      </c>
    </row>
    <row r="5" spans="1:29" ht="15">
      <c r="A5" s="513"/>
      <c r="B5" s="514"/>
      <c r="C5" s="3636" t="s">
        <v>2930</v>
      </c>
      <c r="D5" s="3637"/>
      <c r="E5" s="3656" t="s">
        <v>2931</v>
      </c>
      <c r="F5" s="3657"/>
      <c r="G5" s="3636" t="s">
        <v>2932</v>
      </c>
      <c r="H5" s="3637"/>
      <c r="I5" s="3636" t="s">
        <v>2933</v>
      </c>
      <c r="J5" s="3637"/>
      <c r="K5" s="512"/>
      <c r="L5" s="2132"/>
      <c r="M5" s="2133"/>
      <c r="N5" s="2133"/>
      <c r="O5" s="2133"/>
      <c r="P5" s="3624"/>
      <c r="Q5" s="3625"/>
      <c r="R5" s="3630"/>
      <c r="S5" s="3631"/>
      <c r="T5" s="3630"/>
      <c r="U5" s="3631"/>
      <c r="V5" s="3615"/>
      <c r="W5" s="3615"/>
      <c r="X5" s="1565"/>
      <c r="Y5" s="3630"/>
      <c r="Z5" s="3631"/>
      <c r="AA5" s="3618"/>
      <c r="AB5" s="3618"/>
      <c r="AC5" s="3618"/>
    </row>
    <row r="6" spans="1:29" ht="15.75" thickBot="1">
      <c r="A6" s="515"/>
      <c r="B6" s="516"/>
      <c r="C6" s="3634" t="s">
        <v>2934</v>
      </c>
      <c r="D6" s="3635"/>
      <c r="E6" s="3652" t="s">
        <v>2934</v>
      </c>
      <c r="F6" s="3653"/>
      <c r="G6" s="3634" t="s">
        <v>2934</v>
      </c>
      <c r="H6" s="3635"/>
      <c r="I6" s="3634" t="s">
        <v>2934</v>
      </c>
      <c r="J6" s="3635"/>
      <c r="K6" s="512" t="s">
        <v>528</v>
      </c>
      <c r="L6" s="2132"/>
      <c r="M6" s="2133"/>
      <c r="N6" s="2133"/>
      <c r="O6" s="2133"/>
      <c r="P6" s="3626"/>
      <c r="Q6" s="3627"/>
      <c r="R6" s="3630"/>
      <c r="S6" s="3631"/>
      <c r="T6" s="3632"/>
      <c r="U6" s="3633"/>
      <c r="V6" s="3615"/>
      <c r="W6" s="3615"/>
      <c r="X6" s="1565"/>
      <c r="Y6" s="3632"/>
      <c r="Z6" s="3633"/>
      <c r="AA6" s="3619"/>
      <c r="AB6" s="3619"/>
      <c r="AC6" s="3619"/>
    </row>
    <row r="7" spans="1:29" s="1217" customFormat="1" ht="15.75" thickBot="1">
      <c r="A7" s="2931"/>
      <c r="B7" s="2938" t="s">
        <v>529</v>
      </c>
      <c r="C7" s="517">
        <f>'数据-取费表'!B2</f>
        <v>43382</v>
      </c>
      <c r="D7" s="518">
        <v>100</v>
      </c>
      <c r="E7" s="519"/>
      <c r="F7" s="520">
        <f>SUMIF(52:52,YEAR(E7)&amp;"-"&amp;MONTH(E7),53:53)</f>
        <v>0</v>
      </c>
      <c r="G7" s="519"/>
      <c r="H7" s="518">
        <f>SUMIF(52:52,YEAR(G7)&amp;"-"&amp;MONTH(G7),53:53)</f>
        <v>0</v>
      </c>
      <c r="I7" s="519"/>
      <c r="J7" s="518">
        <f>SUMIF(52:52,YEAR(I7)&amp;"-"&amp;MONTH(I7),53:53)</f>
        <v>0</v>
      </c>
      <c r="K7" s="522"/>
      <c r="L7" s="2134"/>
      <c r="M7" s="2135"/>
      <c r="N7" s="2135"/>
      <c r="O7" s="2135"/>
      <c r="P7" s="3645" t="s">
        <v>530</v>
      </c>
      <c r="Q7" s="3647"/>
      <c r="R7" s="1566" t="s">
        <v>8</v>
      </c>
      <c r="S7" s="1567">
        <f t="shared" ref="S7:S15" si="0">F7</f>
        <v>0</v>
      </c>
      <c r="T7" s="1566" t="s">
        <v>8</v>
      </c>
      <c r="U7" s="1567">
        <f t="shared" ref="U7:U15" si="1">H7</f>
        <v>0</v>
      </c>
      <c r="V7" s="1566" t="s">
        <v>8</v>
      </c>
      <c r="W7" s="1567">
        <f t="shared" ref="W7:W15" si="2">J7</f>
        <v>0</v>
      </c>
      <c r="X7" s="1568"/>
      <c r="Y7" s="3645" t="s">
        <v>530</v>
      </c>
      <c r="Z7" s="3646"/>
      <c r="AA7" s="1569" t="e">
        <f>D7/F7</f>
        <v>#DIV/0!</v>
      </c>
      <c r="AB7" s="1569" t="e">
        <f>D7/H7</f>
        <v>#DIV/0!</v>
      </c>
      <c r="AC7" s="1569" t="e">
        <f>D7/J7</f>
        <v>#DIV/0!</v>
      </c>
    </row>
    <row r="8" spans="1:29" s="1217" customFormat="1" ht="15.75" thickBot="1">
      <c r="A8" s="2932"/>
      <c r="B8" s="2939" t="s">
        <v>531</v>
      </c>
      <c r="C8" s="523" t="s">
        <v>576</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645" t="s">
        <v>533</v>
      </c>
      <c r="Q8" s="3646"/>
      <c r="R8" s="1566" t="s">
        <v>8</v>
      </c>
      <c r="S8" s="1567">
        <f t="shared" si="0"/>
        <v>0</v>
      </c>
      <c r="T8" s="1566" t="s">
        <v>8</v>
      </c>
      <c r="U8" s="1567">
        <f t="shared" si="1"/>
        <v>0</v>
      </c>
      <c r="V8" s="1566" t="s">
        <v>8</v>
      </c>
      <c r="W8" s="1567">
        <f t="shared" si="2"/>
        <v>0</v>
      </c>
      <c r="X8" s="1568"/>
      <c r="Y8" s="3645" t="s">
        <v>533</v>
      </c>
      <c r="Z8" s="3646"/>
      <c r="AA8" s="1569" t="e">
        <f t="shared" ref="AA8:AA40" si="3">D8/F8</f>
        <v>#DIV/0!</v>
      </c>
      <c r="AB8" s="1569" t="e">
        <f t="shared" ref="AB8:AB40" si="4">D8/H8</f>
        <v>#DIV/0!</v>
      </c>
      <c r="AC8" s="1569" t="e">
        <f t="shared" ref="AC8:AC40" si="5">D8/J8</f>
        <v>#DIV/0!</v>
      </c>
    </row>
    <row r="9" spans="1:29" s="1217" customFormat="1" ht="15">
      <c r="A9" s="2933"/>
      <c r="B9" s="2940" t="s">
        <v>2760</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614" t="s">
        <v>535</v>
      </c>
      <c r="Q9" s="1148" t="str">
        <f t="shared" ref="Q9:Q15" si="6">B9</f>
        <v>用途</v>
      </c>
      <c r="R9" s="1566" t="s">
        <v>8</v>
      </c>
      <c r="S9" s="1567">
        <f t="shared" si="0"/>
        <v>100</v>
      </c>
      <c r="T9" s="1566" t="s">
        <v>8</v>
      </c>
      <c r="U9" s="1567">
        <f t="shared" si="1"/>
        <v>100</v>
      </c>
      <c r="V9" s="1566" t="s">
        <v>8</v>
      </c>
      <c r="W9" s="1567">
        <f t="shared" si="2"/>
        <v>100</v>
      </c>
      <c r="X9" s="1568"/>
      <c r="Y9" s="3448"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614"/>
      <c r="Q10" s="1148" t="str">
        <f t="shared" si="6"/>
        <v>土地使用年限（年）</v>
      </c>
      <c r="R10" s="1566" t="s">
        <v>8</v>
      </c>
      <c r="S10" s="1567">
        <f t="shared" si="0"/>
        <v>100</v>
      </c>
      <c r="T10" s="1566" t="s">
        <v>8</v>
      </c>
      <c r="U10" s="1567">
        <f t="shared" si="1"/>
        <v>100</v>
      </c>
      <c r="V10" s="1566" t="s">
        <v>8</v>
      </c>
      <c r="W10" s="1567">
        <f t="shared" si="2"/>
        <v>100</v>
      </c>
      <c r="X10" s="1568"/>
      <c r="Y10" s="3448"/>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614"/>
      <c r="Q11" s="1148" t="str">
        <f t="shared" si="6"/>
        <v>容积率</v>
      </c>
      <c r="R11" s="1566" t="s">
        <v>8</v>
      </c>
      <c r="S11" s="1567" t="e">
        <f t="shared" si="0"/>
        <v>#N/A</v>
      </c>
      <c r="T11" s="1566" t="s">
        <v>8</v>
      </c>
      <c r="U11" s="1567" t="e">
        <f t="shared" si="1"/>
        <v>#N/A</v>
      </c>
      <c r="V11" s="1566" t="s">
        <v>8</v>
      </c>
      <c r="W11" s="1567" t="e">
        <f t="shared" si="2"/>
        <v>#N/A</v>
      </c>
      <c r="X11" s="1568"/>
      <c r="Y11" s="3448"/>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614"/>
      <c r="Q12" s="1148">
        <f t="shared" si="6"/>
        <v>111</v>
      </c>
      <c r="R12" s="1566" t="s">
        <v>8</v>
      </c>
      <c r="S12" s="1567">
        <f t="shared" si="0"/>
        <v>100</v>
      </c>
      <c r="T12" s="1566" t="s">
        <v>8</v>
      </c>
      <c r="U12" s="1567">
        <f t="shared" si="1"/>
        <v>100</v>
      </c>
      <c r="V12" s="1566" t="s">
        <v>8</v>
      </c>
      <c r="W12" s="1567">
        <f t="shared" si="2"/>
        <v>100</v>
      </c>
      <c r="X12" s="1568"/>
      <c r="Y12" s="3448"/>
      <c r="Z12" s="1147">
        <f t="shared" si="7"/>
        <v>111</v>
      </c>
      <c r="AA12" s="1569">
        <f>D12/F12</f>
        <v>1</v>
      </c>
      <c r="AB12" s="1569">
        <f>D12/H12</f>
        <v>1</v>
      </c>
      <c r="AC12" s="1569">
        <f>D12/J12</f>
        <v>1</v>
      </c>
    </row>
    <row r="13" spans="1:29" ht="15">
      <c r="A13" s="2936"/>
      <c r="B13" s="294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614"/>
      <c r="Q13" s="1148">
        <f t="shared" si="6"/>
        <v>111</v>
      </c>
      <c r="R13" s="1566" t="s">
        <v>8</v>
      </c>
      <c r="S13" s="1567">
        <f t="shared" si="0"/>
        <v>100</v>
      </c>
      <c r="T13" s="1566" t="s">
        <v>8</v>
      </c>
      <c r="U13" s="1567">
        <f t="shared" si="1"/>
        <v>100</v>
      </c>
      <c r="V13" s="1566" t="s">
        <v>8</v>
      </c>
      <c r="W13" s="1567">
        <f t="shared" si="2"/>
        <v>100</v>
      </c>
      <c r="X13" s="1568"/>
      <c r="Y13" s="3448"/>
      <c r="Z13" s="1147">
        <f t="shared" si="7"/>
        <v>111</v>
      </c>
      <c r="AA13" s="1569">
        <f t="shared" si="3"/>
        <v>1</v>
      </c>
      <c r="AB13" s="1569">
        <f t="shared" si="4"/>
        <v>1</v>
      </c>
      <c r="AC13" s="1569">
        <f t="shared" si="5"/>
        <v>1</v>
      </c>
    </row>
    <row r="14" spans="1:29" ht="15.75" thickBot="1">
      <c r="A14" s="2937"/>
      <c r="B14" s="294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614"/>
      <c r="Q14" s="1148">
        <f t="shared" si="6"/>
        <v>111</v>
      </c>
      <c r="R14" s="1566" t="s">
        <v>8</v>
      </c>
      <c r="S14" s="1567">
        <f t="shared" si="0"/>
        <v>100</v>
      </c>
      <c r="T14" s="1566" t="s">
        <v>8</v>
      </c>
      <c r="U14" s="1567">
        <f t="shared" si="1"/>
        <v>100</v>
      </c>
      <c r="V14" s="1566" t="s">
        <v>8</v>
      </c>
      <c r="W14" s="1567">
        <f t="shared" si="2"/>
        <v>100</v>
      </c>
      <c r="X14" s="1568"/>
      <c r="Y14" s="3448"/>
      <c r="Z14" s="1147">
        <f t="shared" si="7"/>
        <v>111</v>
      </c>
      <c r="AA14" s="1569">
        <f t="shared" si="3"/>
        <v>1</v>
      </c>
      <c r="AB14" s="1569">
        <f t="shared" si="4"/>
        <v>1</v>
      </c>
      <c r="AC14" s="1569">
        <f t="shared" si="5"/>
        <v>1</v>
      </c>
    </row>
    <row r="15" spans="1:29" ht="57">
      <c r="A15" s="2929"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648" t="s">
        <v>540</v>
      </c>
      <c r="Q15" s="1570" t="str">
        <f t="shared" si="6"/>
        <v>产业集聚程度</v>
      </c>
      <c r="R15" s="1571" t="s">
        <v>8</v>
      </c>
      <c r="S15" s="1572">
        <f t="shared" si="0"/>
        <v>100</v>
      </c>
      <c r="T15" s="1571" t="s">
        <v>8</v>
      </c>
      <c r="U15" s="1572">
        <f t="shared" si="1"/>
        <v>100</v>
      </c>
      <c r="V15" s="1571" t="s">
        <v>8</v>
      </c>
      <c r="W15" s="1572">
        <f t="shared" si="2"/>
        <v>100</v>
      </c>
      <c r="X15" s="1565"/>
      <c r="Y15" s="3648"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649"/>
      <c r="Q16" s="1570"/>
      <c r="R16" s="1571"/>
      <c r="S16" s="1572"/>
      <c r="T16" s="1571"/>
      <c r="U16" s="1572"/>
      <c r="V16" s="1571"/>
      <c r="W16" s="1572"/>
      <c r="X16" s="1565"/>
      <c r="Y16" s="3649"/>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649"/>
      <c r="Q17" s="1570" t="str">
        <f>B17</f>
        <v>交通便捷度</v>
      </c>
      <c r="R17" s="1571" t="s">
        <v>8</v>
      </c>
      <c r="S17" s="1572">
        <f>F17</f>
        <v>100</v>
      </c>
      <c r="T17" s="1571" t="s">
        <v>8</v>
      </c>
      <c r="U17" s="1572">
        <f>H17</f>
        <v>100</v>
      </c>
      <c r="V17" s="1571" t="s">
        <v>8</v>
      </c>
      <c r="W17" s="1572">
        <f>J17</f>
        <v>100</v>
      </c>
      <c r="X17" s="1565"/>
      <c r="Y17" s="364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649"/>
      <c r="Q18" s="1570"/>
      <c r="R18" s="1571"/>
      <c r="S18" s="1572"/>
      <c r="T18" s="1571"/>
      <c r="U18" s="1572"/>
      <c r="V18" s="1571"/>
      <c r="W18" s="1572"/>
      <c r="X18" s="1565"/>
      <c r="Y18" s="3649"/>
      <c r="Z18" s="1573"/>
      <c r="AA18" s="1574">
        <v>1</v>
      </c>
      <c r="AB18" s="1574">
        <v>1</v>
      </c>
      <c r="AC18" s="1574">
        <v>1</v>
      </c>
    </row>
    <row r="19" spans="1:29" ht="42.75">
      <c r="A19" s="530"/>
      <c r="B19" s="2624"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649"/>
      <c r="Q19" s="1570" t="str">
        <f>B19</f>
        <v>公共配套设施</v>
      </c>
      <c r="R19" s="1571" t="s">
        <v>8</v>
      </c>
      <c r="S19" s="1572">
        <f>F19</f>
        <v>100</v>
      </c>
      <c r="T19" s="1571" t="s">
        <v>8</v>
      </c>
      <c r="U19" s="1572">
        <f>H19</f>
        <v>100</v>
      </c>
      <c r="V19" s="1571" t="s">
        <v>8</v>
      </c>
      <c r="W19" s="1572">
        <f>J19</f>
        <v>100</v>
      </c>
      <c r="X19" s="1565"/>
      <c r="Y19" s="364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649"/>
      <c r="Q20" s="1570"/>
      <c r="R20" s="1571"/>
      <c r="S20" s="1572"/>
      <c r="T20" s="1571"/>
      <c r="U20" s="1572"/>
      <c r="V20" s="1571"/>
      <c r="W20" s="1572"/>
      <c r="X20" s="1565"/>
      <c r="Y20" s="3649"/>
      <c r="Z20" s="1573"/>
      <c r="AA20" s="1574">
        <v>1</v>
      </c>
      <c r="AB20" s="1574">
        <v>1</v>
      </c>
      <c r="AC20" s="1574">
        <v>1</v>
      </c>
    </row>
    <row r="21" spans="1:29" ht="28.5">
      <c r="A21" s="530"/>
      <c r="B21" s="2612"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649"/>
      <c r="Q21" s="2600" t="str">
        <f>B21</f>
        <v>基础设施水平</v>
      </c>
      <c r="R21" s="1571" t="s">
        <v>8</v>
      </c>
      <c r="S21" s="1572">
        <f>F21</f>
        <v>100</v>
      </c>
      <c r="T21" s="1571" t="s">
        <v>8</v>
      </c>
      <c r="U21" s="1572">
        <f>H21</f>
        <v>100</v>
      </c>
      <c r="V21" s="1571" t="s">
        <v>8</v>
      </c>
      <c r="W21" s="1572">
        <f>J21</f>
        <v>100</v>
      </c>
      <c r="X21" s="2602"/>
      <c r="Y21" s="3649"/>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41"/>
      <c r="M22" s="2133"/>
      <c r="N22" s="2133"/>
      <c r="O22" s="2140"/>
      <c r="P22" s="3649"/>
      <c r="Q22" s="2600"/>
      <c r="R22" s="1571"/>
      <c r="S22" s="1572"/>
      <c r="T22" s="1571"/>
      <c r="U22" s="1572"/>
      <c r="V22" s="1571"/>
      <c r="W22" s="1572"/>
      <c r="X22" s="2602"/>
      <c r="Y22" s="3649"/>
      <c r="Z22" s="2601"/>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649"/>
      <c r="Q23" s="1570" t="str">
        <f>B23</f>
        <v>环境质量</v>
      </c>
      <c r="R23" s="1571" t="s">
        <v>8</v>
      </c>
      <c r="S23" s="1572">
        <f>F23</f>
        <v>100</v>
      </c>
      <c r="T23" s="1571" t="s">
        <v>8</v>
      </c>
      <c r="U23" s="1572">
        <f>H23</f>
        <v>100</v>
      </c>
      <c r="V23" s="1571" t="s">
        <v>8</v>
      </c>
      <c r="W23" s="1572">
        <f>J23</f>
        <v>100</v>
      </c>
      <c r="X23" s="1565"/>
      <c r="Y23" s="364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649"/>
      <c r="Q24" s="1570"/>
      <c r="R24" s="1571"/>
      <c r="S24" s="1572"/>
      <c r="T24" s="1571"/>
      <c r="U24" s="1572"/>
      <c r="V24" s="1571"/>
      <c r="W24" s="1572"/>
      <c r="X24" s="1565"/>
      <c r="Y24" s="364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649"/>
      <c r="Q25" s="1570">
        <f>B25</f>
        <v>111</v>
      </c>
      <c r="R25" s="1571" t="s">
        <v>8</v>
      </c>
      <c r="S25" s="1572">
        <f>F25</f>
        <v>100</v>
      </c>
      <c r="T25" s="1571" t="s">
        <v>8</v>
      </c>
      <c r="U25" s="1572">
        <f>H25</f>
        <v>100</v>
      </c>
      <c r="V25" s="1571" t="s">
        <v>8</v>
      </c>
      <c r="W25" s="1572">
        <f>J25</f>
        <v>100</v>
      </c>
      <c r="X25" s="1565"/>
      <c r="Y25" s="364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649"/>
      <c r="Q26" s="1570">
        <f t="shared" ref="Q26:Q40" si="11">B26</f>
        <v>111</v>
      </c>
      <c r="R26" s="1571" t="s">
        <v>8</v>
      </c>
      <c r="S26" s="1572">
        <f>F26</f>
        <v>100</v>
      </c>
      <c r="T26" s="1571" t="s">
        <v>8</v>
      </c>
      <c r="U26" s="1572">
        <f>H26</f>
        <v>100</v>
      </c>
      <c r="V26" s="1571" t="s">
        <v>8</v>
      </c>
      <c r="W26" s="1572">
        <f>J26</f>
        <v>100</v>
      </c>
      <c r="X26" s="1565"/>
      <c r="Y26" s="3649"/>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649"/>
      <c r="Q27" s="1148">
        <f t="shared" si="11"/>
        <v>111</v>
      </c>
      <c r="R27" s="1566" t="s">
        <v>8</v>
      </c>
      <c r="S27" s="1567">
        <f>F27</f>
        <v>100</v>
      </c>
      <c r="T27" s="1566" t="s">
        <v>8</v>
      </c>
      <c r="U27" s="1567">
        <f>H27</f>
        <v>100</v>
      </c>
      <c r="V27" s="1566" t="s">
        <v>8</v>
      </c>
      <c r="W27" s="1567">
        <f>J27</f>
        <v>100</v>
      </c>
      <c r="X27" s="1568"/>
      <c r="Y27" s="3649"/>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649"/>
      <c r="Q28" s="1570">
        <f t="shared" si="11"/>
        <v>111</v>
      </c>
      <c r="R28" s="1571" t="s">
        <v>8</v>
      </c>
      <c r="S28" s="1572">
        <f t="shared" ref="S28:S40" si="12">F28</f>
        <v>100</v>
      </c>
      <c r="T28" s="1571" t="s">
        <v>8</v>
      </c>
      <c r="U28" s="1572">
        <f t="shared" ref="U28:U40" si="13">H28</f>
        <v>100</v>
      </c>
      <c r="V28" s="1571" t="s">
        <v>8</v>
      </c>
      <c r="W28" s="1572">
        <f t="shared" ref="W28:W40" si="14">J28</f>
        <v>100</v>
      </c>
      <c r="X28" s="1565"/>
      <c r="Y28" s="3649"/>
      <c r="Z28" s="1573">
        <f t="shared" ref="Z28:Z40" si="15">Q28</f>
        <v>111</v>
      </c>
      <c r="AA28" s="1574">
        <f t="shared" si="3"/>
        <v>1</v>
      </c>
      <c r="AB28" s="1574">
        <f t="shared" si="4"/>
        <v>1</v>
      </c>
      <c r="AC28" s="1574">
        <f t="shared" si="5"/>
        <v>1</v>
      </c>
    </row>
    <row r="29" spans="1:29" ht="15">
      <c r="A29" s="2926"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650" t="s">
        <v>550</v>
      </c>
      <c r="Q29" s="1570" t="str">
        <f t="shared" si="11"/>
        <v>建筑类型</v>
      </c>
      <c r="R29" s="1571" t="s">
        <v>8</v>
      </c>
      <c r="S29" s="1572">
        <f t="shared" si="12"/>
        <v>100</v>
      </c>
      <c r="T29" s="1571" t="s">
        <v>8</v>
      </c>
      <c r="U29" s="1572">
        <f t="shared" si="13"/>
        <v>100</v>
      </c>
      <c r="V29" s="1571" t="s">
        <v>8</v>
      </c>
      <c r="W29" s="1572">
        <f t="shared" si="14"/>
        <v>100</v>
      </c>
      <c r="X29" s="1565"/>
      <c r="Y29" s="3651" t="s">
        <v>550</v>
      </c>
      <c r="Z29" s="1573" t="str">
        <f t="shared" si="15"/>
        <v>建筑类型</v>
      </c>
      <c r="AA29" s="1574">
        <f t="shared" si="3"/>
        <v>1</v>
      </c>
      <c r="AB29" s="1574">
        <f t="shared" si="4"/>
        <v>1</v>
      </c>
      <c r="AC29" s="1574">
        <f t="shared" si="5"/>
        <v>1</v>
      </c>
    </row>
    <row r="30" spans="1:29" s="1336"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651"/>
      <c r="Q30" s="1603" t="str">
        <f t="shared" si="11"/>
        <v>项目建筑规模</v>
      </c>
      <c r="R30" s="1575" t="s">
        <v>8</v>
      </c>
      <c r="S30" s="1576" t="e">
        <f t="shared" si="12"/>
        <v>#N/A</v>
      </c>
      <c r="T30" s="1575" t="s">
        <v>8</v>
      </c>
      <c r="U30" s="1576" t="e">
        <f t="shared" si="13"/>
        <v>#N/A</v>
      </c>
      <c r="V30" s="1575" t="s">
        <v>8</v>
      </c>
      <c r="W30" s="1576" t="e">
        <f t="shared" si="14"/>
        <v>#N/A</v>
      </c>
      <c r="X30" s="1577"/>
      <c r="Y30" s="3651"/>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651"/>
      <c r="Q31" s="1570" t="str">
        <f t="shared" si="11"/>
        <v>建筑结构</v>
      </c>
      <c r="R31" s="1571" t="s">
        <v>8</v>
      </c>
      <c r="S31" s="1572">
        <f t="shared" si="12"/>
        <v>100</v>
      </c>
      <c r="T31" s="1571" t="s">
        <v>8</v>
      </c>
      <c r="U31" s="1572">
        <f t="shared" si="13"/>
        <v>100</v>
      </c>
      <c r="V31" s="1571" t="s">
        <v>8</v>
      </c>
      <c r="W31" s="1572">
        <f t="shared" si="14"/>
        <v>100</v>
      </c>
      <c r="X31" s="1565"/>
      <c r="Y31" s="3651"/>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651"/>
      <c r="Q32" s="1570" t="str">
        <f t="shared" si="11"/>
        <v>公共部分装修</v>
      </c>
      <c r="R32" s="1571" t="s">
        <v>8</v>
      </c>
      <c r="S32" s="1572">
        <f t="shared" si="12"/>
        <v>100</v>
      </c>
      <c r="T32" s="1571" t="s">
        <v>8</v>
      </c>
      <c r="U32" s="1572">
        <f t="shared" si="13"/>
        <v>100</v>
      </c>
      <c r="V32" s="1571" t="s">
        <v>8</v>
      </c>
      <c r="W32" s="1572">
        <f t="shared" si="14"/>
        <v>100</v>
      </c>
      <c r="X32" s="1565"/>
      <c r="Y32" s="3651"/>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651"/>
      <c r="Q33" s="1570" t="str">
        <f t="shared" si="11"/>
        <v>成新度</v>
      </c>
      <c r="R33" s="1571" t="s">
        <v>8</v>
      </c>
      <c r="S33" s="1572" t="e">
        <f t="shared" si="12"/>
        <v>#N/A</v>
      </c>
      <c r="T33" s="1571" t="s">
        <v>8</v>
      </c>
      <c r="U33" s="1572" t="e">
        <f t="shared" si="13"/>
        <v>#N/A</v>
      </c>
      <c r="V33" s="1571" t="s">
        <v>8</v>
      </c>
      <c r="W33" s="1572" t="e">
        <f t="shared" si="14"/>
        <v>#N/A</v>
      </c>
      <c r="X33" s="1565"/>
      <c r="Y33" s="3651"/>
      <c r="Z33" s="1573" t="str">
        <f t="shared" si="15"/>
        <v>成新度</v>
      </c>
      <c r="AA33" s="1574" t="e">
        <f t="shared" si="3"/>
        <v>#N/A</v>
      </c>
      <c r="AB33" s="1574" t="e">
        <f t="shared" si="4"/>
        <v>#N/A</v>
      </c>
      <c r="AC33" s="1574"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651"/>
      <c r="Q34" s="1148" t="str">
        <f t="shared" si="11"/>
        <v>物业管理</v>
      </c>
      <c r="R34" s="1566" t="s">
        <v>8</v>
      </c>
      <c r="S34" s="1567">
        <f t="shared" si="12"/>
        <v>100</v>
      </c>
      <c r="T34" s="1566" t="s">
        <v>8</v>
      </c>
      <c r="U34" s="1567">
        <f t="shared" si="13"/>
        <v>100</v>
      </c>
      <c r="V34" s="1566" t="s">
        <v>8</v>
      </c>
      <c r="W34" s="1567">
        <f t="shared" si="14"/>
        <v>100</v>
      </c>
      <c r="X34" s="1568"/>
      <c r="Y34" s="3651"/>
      <c r="Z34" s="1147" t="str">
        <f t="shared" si="15"/>
        <v>物业管理</v>
      </c>
      <c r="AA34" s="1569">
        <f t="shared" si="3"/>
        <v>1</v>
      </c>
      <c r="AB34" s="1569">
        <f t="shared" si="4"/>
        <v>1</v>
      </c>
      <c r="AC34" s="1569">
        <f t="shared" si="5"/>
        <v>1</v>
      </c>
    </row>
    <row r="35" spans="1:29" ht="15">
      <c r="A35" s="592"/>
      <c r="B35" s="1894"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651" t="s">
        <v>550</v>
      </c>
      <c r="Q35" s="1570" t="str">
        <f t="shared" si="11"/>
        <v>市政基础设施</v>
      </c>
      <c r="R35" s="1571" t="s">
        <v>8</v>
      </c>
      <c r="S35" s="1572">
        <f t="shared" si="12"/>
        <v>100</v>
      </c>
      <c r="T35" s="1571" t="s">
        <v>8</v>
      </c>
      <c r="U35" s="1572">
        <f t="shared" si="13"/>
        <v>100</v>
      </c>
      <c r="V35" s="1571" t="s">
        <v>8</v>
      </c>
      <c r="W35" s="1572">
        <f t="shared" si="14"/>
        <v>100</v>
      </c>
      <c r="X35" s="1565"/>
      <c r="Y35" s="3651"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651"/>
      <c r="Q36" s="1570" t="str">
        <f t="shared" si="11"/>
        <v>内部装修</v>
      </c>
      <c r="R36" s="1571" t="s">
        <v>8</v>
      </c>
      <c r="S36" s="1572">
        <f t="shared" si="12"/>
        <v>100</v>
      </c>
      <c r="T36" s="1571" t="s">
        <v>8</v>
      </c>
      <c r="U36" s="1572">
        <f t="shared" si="13"/>
        <v>100</v>
      </c>
      <c r="V36" s="1571" t="s">
        <v>8</v>
      </c>
      <c r="W36" s="1572">
        <f t="shared" si="14"/>
        <v>100</v>
      </c>
      <c r="X36" s="1565"/>
      <c r="Y36" s="3651"/>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651"/>
      <c r="Q37" s="1570" t="str">
        <f t="shared" si="11"/>
        <v>内部装修状况</v>
      </c>
      <c r="R37" s="1571" t="s">
        <v>8</v>
      </c>
      <c r="S37" s="1572">
        <f t="shared" si="12"/>
        <v>100</v>
      </c>
      <c r="T37" s="1571" t="s">
        <v>8</v>
      </c>
      <c r="U37" s="1572">
        <f t="shared" si="13"/>
        <v>100</v>
      </c>
      <c r="V37" s="1571" t="s">
        <v>8</v>
      </c>
      <c r="W37" s="1572">
        <f t="shared" si="14"/>
        <v>100</v>
      </c>
      <c r="X37" s="1565"/>
      <c r="Y37" s="3651"/>
      <c r="Z37" s="1573" t="str">
        <f t="shared" si="15"/>
        <v>内部装修状况</v>
      </c>
      <c r="AA37" s="1574">
        <f t="shared" si="3"/>
        <v>1</v>
      </c>
      <c r="AB37" s="1574">
        <f t="shared" si="4"/>
        <v>1</v>
      </c>
      <c r="AC37" s="1574">
        <f t="shared" si="5"/>
        <v>1</v>
      </c>
    </row>
    <row r="38" spans="1:29" s="1336"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651"/>
      <c r="Q38" s="1603">
        <f t="shared" si="11"/>
        <v>111</v>
      </c>
      <c r="R38" s="1575" t="s">
        <v>8</v>
      </c>
      <c r="S38" s="1576">
        <f t="shared" si="12"/>
        <v>100</v>
      </c>
      <c r="T38" s="1575" t="s">
        <v>8</v>
      </c>
      <c r="U38" s="1576">
        <f t="shared" si="13"/>
        <v>100</v>
      </c>
      <c r="V38" s="1575" t="s">
        <v>8</v>
      </c>
      <c r="W38" s="1576">
        <f t="shared" si="14"/>
        <v>100</v>
      </c>
      <c r="X38" s="1577"/>
      <c r="Y38" s="365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651"/>
      <c r="Q39" s="1570">
        <f t="shared" si="11"/>
        <v>111</v>
      </c>
      <c r="R39" s="1571" t="s">
        <v>8</v>
      </c>
      <c r="S39" s="1572">
        <f t="shared" si="12"/>
        <v>100</v>
      </c>
      <c r="T39" s="1571" t="s">
        <v>8</v>
      </c>
      <c r="U39" s="1572">
        <f t="shared" si="13"/>
        <v>100</v>
      </c>
      <c r="V39" s="1571" t="s">
        <v>8</v>
      </c>
      <c r="W39" s="1572">
        <f t="shared" si="14"/>
        <v>100</v>
      </c>
      <c r="X39" s="1565"/>
      <c r="Y39" s="365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728"/>
      <c r="Q40" s="1570">
        <f t="shared" si="11"/>
        <v>111</v>
      </c>
      <c r="R40" s="1571" t="s">
        <v>8</v>
      </c>
      <c r="S40" s="1572">
        <f t="shared" si="12"/>
        <v>100</v>
      </c>
      <c r="T40" s="1571" t="s">
        <v>8</v>
      </c>
      <c r="U40" s="1572">
        <f t="shared" si="13"/>
        <v>100</v>
      </c>
      <c r="V40" s="1571" t="s">
        <v>8</v>
      </c>
      <c r="W40" s="1572">
        <f t="shared" si="14"/>
        <v>100</v>
      </c>
      <c r="X40" s="1565"/>
      <c r="Y40" s="3728"/>
      <c r="Z40" s="1573">
        <f t="shared" si="15"/>
        <v>111</v>
      </c>
      <c r="AA40" s="1574">
        <f t="shared" si="3"/>
        <v>1</v>
      </c>
      <c r="AB40" s="1574">
        <f t="shared" si="4"/>
        <v>1</v>
      </c>
      <c r="AC40" s="1574">
        <f t="shared" si="5"/>
        <v>1</v>
      </c>
    </row>
    <row r="41" spans="1:29" ht="15">
      <c r="A41" s="605" t="s">
        <v>736</v>
      </c>
      <c r="B41" s="885"/>
      <c r="C41" s="2648" t="s">
        <v>1</v>
      </c>
      <c r="D41" s="2649"/>
      <c r="E41" s="2650"/>
      <c r="F41" s="2651"/>
      <c r="G41" s="2652"/>
      <c r="H41" s="2653"/>
      <c r="I41" s="2650"/>
      <c r="J41" s="2653"/>
      <c r="K41" s="1609"/>
      <c r="L41" s="2143"/>
      <c r="M41" s="2144"/>
      <c r="N41" s="2133"/>
      <c r="O41" s="2144"/>
      <c r="P41" s="3614" t="str">
        <f>A41</f>
        <v>成交单价（元/平方米）</v>
      </c>
      <c r="Q41" s="3614"/>
      <c r="R41" s="3727">
        <f>E41</f>
        <v>0</v>
      </c>
      <c r="S41" s="3727"/>
      <c r="T41" s="3727">
        <f>G41</f>
        <v>0</v>
      </c>
      <c r="U41" s="3727"/>
      <c r="V41" s="3727">
        <f>I41</f>
        <v>0</v>
      </c>
      <c r="W41" s="3727"/>
      <c r="X41" s="1557"/>
      <c r="Y41" s="1579"/>
      <c r="Z41" s="1557"/>
      <c r="AA41" s="1557"/>
      <c r="AB41" s="1557"/>
      <c r="AC41" s="1557"/>
    </row>
    <row r="42" spans="1:29" ht="15.75" thickBot="1">
      <c r="A42" s="613" t="s">
        <v>2764</v>
      </c>
      <c r="B42" s="886"/>
      <c r="C42" s="2654" t="e">
        <f>R43</f>
        <v>#DIV/0!</v>
      </c>
      <c r="D42" s="2655"/>
      <c r="E42" s="2656" t="e">
        <f>R42</f>
        <v>#DIV/0!</v>
      </c>
      <c r="F42" s="2656"/>
      <c r="G42" s="2654" t="e">
        <f>T42</f>
        <v>#DIV/0!</v>
      </c>
      <c r="H42" s="2655"/>
      <c r="I42" s="2656" t="e">
        <f>V42</f>
        <v>#DIV/0!</v>
      </c>
      <c r="J42" s="2655"/>
      <c r="K42" s="1610"/>
      <c r="L42" s="2143"/>
      <c r="M42" s="2144"/>
      <c r="N42" s="2133"/>
      <c r="O42" s="2144"/>
      <c r="P42" s="3614" t="str">
        <f>A42</f>
        <v>比较价格（元/平方米）</v>
      </c>
      <c r="Q42" s="3614"/>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557"/>
      <c r="Y42" s="1557"/>
      <c r="Z42" s="1557"/>
      <c r="AA42" s="1557"/>
      <c r="AB42" s="1557"/>
      <c r="AC42" s="1557"/>
    </row>
    <row r="43" spans="1:29" ht="15.75" thickBot="1">
      <c r="A43" s="619" t="s">
        <v>2936</v>
      </c>
      <c r="B43" s="620"/>
      <c r="C43" s="2657" t="e">
        <f>R43</f>
        <v>#DIV/0!</v>
      </c>
      <c r="D43" s="2657"/>
      <c r="E43" s="2657"/>
      <c r="F43" s="2657"/>
      <c r="G43" s="2657"/>
      <c r="H43" s="2657"/>
      <c r="I43" s="2657"/>
      <c r="J43" s="2657"/>
      <c r="K43" s="1611"/>
      <c r="L43" s="2143"/>
      <c r="M43" s="2144"/>
      <c r="N43" s="2144"/>
      <c r="O43" s="2144"/>
      <c r="P43" s="3611" t="str">
        <f>A43</f>
        <v>估价对象XX用房的比较价格（楼面单价，元/平方米）</v>
      </c>
      <c r="Q43" s="3612"/>
      <c r="R43" s="3726" t="e">
        <f>IF(F1="售价",ROUND(AVERAGE(R42:V42),0),ROUND(AVERAGE(R42:V42),1))</f>
        <v>#DIV/0!</v>
      </c>
      <c r="S43" s="3726"/>
      <c r="T43" s="3726"/>
      <c r="U43" s="3726"/>
      <c r="V43" s="3726"/>
      <c r="W43" s="372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3" t="s">
        <v>529</v>
      </c>
      <c r="B52" s="644"/>
      <c r="C52" s="2821" t="str">
        <f>YEAR(C7)&amp;"-"&amp;MONTH(C7)</f>
        <v>2018-10</v>
      </c>
      <c r="D52" s="2823">
        <f>EDATE(C52,-1)</f>
        <v>43344</v>
      </c>
      <c r="E52" s="2823">
        <f t="shared" ref="E52:O52" si="16">EDATE(D52,-1)</f>
        <v>43313</v>
      </c>
      <c r="F52" s="2823">
        <f t="shared" si="16"/>
        <v>43282</v>
      </c>
      <c r="G52" s="2823">
        <f t="shared" si="16"/>
        <v>43252</v>
      </c>
      <c r="H52" s="2823">
        <f t="shared" si="16"/>
        <v>43221</v>
      </c>
      <c r="I52" s="2823">
        <f t="shared" si="16"/>
        <v>43191</v>
      </c>
      <c r="J52" s="2823">
        <f t="shared" si="16"/>
        <v>43160</v>
      </c>
      <c r="K52" s="2823">
        <f t="shared" si="16"/>
        <v>43132</v>
      </c>
      <c r="L52" s="2823">
        <f t="shared" si="16"/>
        <v>43101</v>
      </c>
      <c r="M52" s="2823">
        <f t="shared" si="16"/>
        <v>43070</v>
      </c>
      <c r="N52" s="2823">
        <f t="shared" si="16"/>
        <v>43040</v>
      </c>
      <c r="O52" s="2823">
        <f t="shared" si="16"/>
        <v>43009</v>
      </c>
      <c r="P52" s="2159"/>
      <c r="Q52" s="2160"/>
      <c r="R52" s="2160"/>
      <c r="S52" s="2160"/>
      <c r="T52" s="2160"/>
      <c r="U52" s="2160"/>
      <c r="V52" s="2160"/>
      <c r="W52" s="2160"/>
      <c r="X52" s="2160"/>
      <c r="Y52" s="2160"/>
      <c r="Z52" s="2160"/>
      <c r="AA52" s="2160"/>
      <c r="AB52" s="2160"/>
      <c r="AC52" s="2160"/>
    </row>
    <row r="53" spans="1:29" s="1217"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7" customFormat="1" ht="15.75" thickBot="1">
      <c r="A54" s="651" t="s">
        <v>575</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7" customFormat="1" ht="15">
      <c r="A55" s="657" t="s">
        <v>531</v>
      </c>
      <c r="B55" s="646"/>
      <c r="C55" s="658" t="s">
        <v>576</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577</v>
      </c>
      <c r="B57" s="663" t="s">
        <v>534</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539</v>
      </c>
      <c r="B70" s="663" t="s">
        <v>585</v>
      </c>
      <c r="C70" s="701" t="s">
        <v>579</v>
      </c>
      <c r="D70" s="701" t="s">
        <v>580</v>
      </c>
      <c r="E70" s="701" t="s">
        <v>581</v>
      </c>
      <c r="F70" s="701" t="s">
        <v>582</v>
      </c>
      <c r="G70" s="701" t="s">
        <v>583</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586</v>
      </c>
      <c r="C72" s="706" t="s">
        <v>579</v>
      </c>
      <c r="D72" s="706" t="s">
        <v>580</v>
      </c>
      <c r="E72" s="706" t="s">
        <v>581</v>
      </c>
      <c r="F72" s="706" t="s">
        <v>582</v>
      </c>
      <c r="G72" s="706" t="s">
        <v>583</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2561</v>
      </c>
      <c r="C74" s="706" t="s">
        <v>579</v>
      </c>
      <c r="D74" s="706" t="s">
        <v>580</v>
      </c>
      <c r="E74" s="706" t="s">
        <v>581</v>
      </c>
      <c r="F74" s="706" t="s">
        <v>582</v>
      </c>
      <c r="G74" s="706" t="s">
        <v>583</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18" t="s">
        <v>2562</v>
      </c>
      <c r="C76" s="2619" t="s">
        <v>2563</v>
      </c>
      <c r="D76" s="2619" t="s">
        <v>2564</v>
      </c>
      <c r="E76" s="2619" t="s">
        <v>2565</v>
      </c>
      <c r="F76" s="2619" t="s">
        <v>2566</v>
      </c>
      <c r="G76" s="2619" t="s">
        <v>2567</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784</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551</v>
      </c>
      <c r="B88" s="663" t="s">
        <v>747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751</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6"/>
      <c r="B100" s="671" t="s">
        <v>753</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2560</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755</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IF(B37="元/平方米",C39,ROUND(B2*10000/D3,0))</f>
        <v>#DIV/0!</v>
      </c>
      <c r="C3" s="850" t="s">
        <v>796</v>
      </c>
      <c r="D3" s="849">
        <f>SUMIF('数据-汇总表'!$C19:$C33,D1,'数据-汇总表'!$E19:$E33)</f>
        <v>0</v>
      </c>
      <c r="E3" s="1847" t="s">
        <v>2079</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20" t="s">
        <v>798</v>
      </c>
      <c r="D4" s="3621"/>
      <c r="E4" s="3620" t="s">
        <v>799</v>
      </c>
      <c r="F4" s="3621"/>
      <c r="G4" s="3620" t="s">
        <v>800</v>
      </c>
      <c r="H4" s="3621"/>
      <c r="I4" s="3620" t="s">
        <v>801</v>
      </c>
      <c r="J4" s="3621"/>
      <c r="K4" s="512" t="s">
        <v>802</v>
      </c>
      <c r="L4" s="2132"/>
      <c r="M4" s="2133"/>
      <c r="N4" s="2133"/>
      <c r="O4" s="2133"/>
      <c r="P4" s="3622" t="s">
        <v>803</v>
      </c>
      <c r="Q4" s="3623"/>
      <c r="R4" s="3628" t="s">
        <v>799</v>
      </c>
      <c r="S4" s="3629"/>
      <c r="T4" s="3628" t="s">
        <v>800</v>
      </c>
      <c r="U4" s="3629"/>
      <c r="V4" s="3615" t="s">
        <v>801</v>
      </c>
      <c r="W4" s="3615"/>
      <c r="X4" s="1565"/>
      <c r="Y4" s="3628" t="s">
        <v>803</v>
      </c>
      <c r="Z4" s="3629"/>
      <c r="AA4" s="3617" t="s">
        <v>799</v>
      </c>
      <c r="AB4" s="3618" t="s">
        <v>800</v>
      </c>
      <c r="AC4" s="3617" t="s">
        <v>801</v>
      </c>
    </row>
    <row r="5" spans="1:29" ht="15">
      <c r="A5" s="513"/>
      <c r="B5" s="514"/>
      <c r="C5" s="3636" t="s">
        <v>2930</v>
      </c>
      <c r="D5" s="3637"/>
      <c r="E5" s="3636" t="s">
        <v>2931</v>
      </c>
      <c r="F5" s="3637"/>
      <c r="G5" s="3636" t="s">
        <v>2932</v>
      </c>
      <c r="H5" s="3637"/>
      <c r="I5" s="3636" t="s">
        <v>2933</v>
      </c>
      <c r="J5" s="3637"/>
      <c r="K5" s="512"/>
      <c r="L5" s="2132"/>
      <c r="M5" s="2133"/>
      <c r="N5" s="2133"/>
      <c r="O5" s="2133"/>
      <c r="P5" s="3624"/>
      <c r="Q5" s="3625"/>
      <c r="R5" s="3630"/>
      <c r="S5" s="3631"/>
      <c r="T5" s="3630"/>
      <c r="U5" s="3631"/>
      <c r="V5" s="3615"/>
      <c r="W5" s="3615"/>
      <c r="X5" s="1565"/>
      <c r="Y5" s="3630"/>
      <c r="Z5" s="3631"/>
      <c r="AA5" s="3618"/>
      <c r="AB5" s="3618"/>
      <c r="AC5" s="3618"/>
    </row>
    <row r="6" spans="1:29" ht="15.75" thickBot="1">
      <c r="A6" s="515"/>
      <c r="B6" s="516"/>
      <c r="C6" s="3634" t="s">
        <v>2934</v>
      </c>
      <c r="D6" s="3635"/>
      <c r="E6" s="3638" t="s">
        <v>2934</v>
      </c>
      <c r="F6" s="3639"/>
      <c r="G6" s="3634" t="s">
        <v>2934</v>
      </c>
      <c r="H6" s="3635"/>
      <c r="I6" s="3634" t="s">
        <v>2934</v>
      </c>
      <c r="J6" s="3635"/>
      <c r="K6" s="512" t="s">
        <v>528</v>
      </c>
      <c r="L6" s="2132"/>
      <c r="M6" s="2133"/>
      <c r="N6" s="2133"/>
      <c r="O6" s="2133"/>
      <c r="P6" s="3626"/>
      <c r="Q6" s="3627"/>
      <c r="R6" s="3630"/>
      <c r="S6" s="3631"/>
      <c r="T6" s="3632"/>
      <c r="U6" s="3633"/>
      <c r="V6" s="3615"/>
      <c r="W6" s="3615"/>
      <c r="X6" s="1565"/>
      <c r="Y6" s="3632"/>
      <c r="Z6" s="3633"/>
      <c r="AA6" s="3619"/>
      <c r="AB6" s="3619"/>
      <c r="AC6" s="3619"/>
    </row>
    <row r="7" spans="1:29" s="1217" customFormat="1" ht="15.75" thickBot="1">
      <c r="A7" s="2931"/>
      <c r="B7" s="2938" t="s">
        <v>529</v>
      </c>
      <c r="C7" s="517">
        <f>'数据-取费表'!B2</f>
        <v>43382</v>
      </c>
      <c r="D7" s="518">
        <v>100</v>
      </c>
      <c r="E7" s="519"/>
      <c r="F7" s="520">
        <f>SUMIF(48:48,YEAR(E7)&amp;"-"&amp;MONTH(E7),49:49)</f>
        <v>0</v>
      </c>
      <c r="G7" s="521"/>
      <c r="H7" s="518">
        <f>SUMIF(48:48,YEAR(G7)&amp;"-"&amp;MONTH(G7),49:49)</f>
        <v>0</v>
      </c>
      <c r="I7" s="521"/>
      <c r="J7" s="518">
        <f>SUMIF(48:48,YEAR(I7)&amp;"-"&amp;MONTH(I7),49:49)</f>
        <v>0</v>
      </c>
      <c r="K7" s="522"/>
      <c r="L7" s="2134"/>
      <c r="M7" s="2135"/>
      <c r="N7" s="2135"/>
      <c r="O7" s="2135"/>
      <c r="P7" s="3645" t="s">
        <v>530</v>
      </c>
      <c r="Q7" s="3647"/>
      <c r="R7" s="1566" t="s">
        <v>8</v>
      </c>
      <c r="S7" s="1567">
        <f t="shared" ref="S7:S14" si="0">F7</f>
        <v>0</v>
      </c>
      <c r="T7" s="1566" t="s">
        <v>8</v>
      </c>
      <c r="U7" s="1567">
        <f t="shared" ref="U7:U14" si="1">H7</f>
        <v>0</v>
      </c>
      <c r="V7" s="1566" t="s">
        <v>8</v>
      </c>
      <c r="W7" s="1567">
        <f t="shared" ref="W7:W14" si="2">J7</f>
        <v>0</v>
      </c>
      <c r="X7" s="1568"/>
      <c r="Y7" s="3645" t="s">
        <v>530</v>
      </c>
      <c r="Z7" s="3646"/>
      <c r="AA7" s="1569" t="e">
        <f>D7/F7</f>
        <v>#DIV/0!</v>
      </c>
      <c r="AB7" s="1569" t="e">
        <f>D7/H7</f>
        <v>#DIV/0!</v>
      </c>
      <c r="AC7" s="1569" t="e">
        <f>D7/J7</f>
        <v>#DIV/0!</v>
      </c>
    </row>
    <row r="8" spans="1:29" s="1217" customFormat="1" ht="15.75" thickBot="1">
      <c r="A8" s="2932"/>
      <c r="B8" s="2939" t="s">
        <v>531</v>
      </c>
      <c r="C8" s="523" t="s">
        <v>576</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645" t="s">
        <v>533</v>
      </c>
      <c r="Q8" s="3646"/>
      <c r="R8" s="1566" t="s">
        <v>8</v>
      </c>
      <c r="S8" s="1567">
        <f t="shared" si="0"/>
        <v>0</v>
      </c>
      <c r="T8" s="1566" t="s">
        <v>8</v>
      </c>
      <c r="U8" s="1567">
        <f t="shared" si="1"/>
        <v>0</v>
      </c>
      <c r="V8" s="1566" t="s">
        <v>8</v>
      </c>
      <c r="W8" s="1567">
        <f t="shared" si="2"/>
        <v>0</v>
      </c>
      <c r="X8" s="1568"/>
      <c r="Y8" s="3645" t="s">
        <v>533</v>
      </c>
      <c r="Z8" s="3646"/>
      <c r="AA8" s="1569" t="e">
        <f t="shared" ref="AA8:AA36" si="3">D8/F8</f>
        <v>#DIV/0!</v>
      </c>
      <c r="AB8" s="1569" t="e">
        <f t="shared" ref="AB8:AB36" si="4">D8/H8</f>
        <v>#DIV/0!</v>
      </c>
      <c r="AC8" s="1569" t="e">
        <f t="shared" ref="AC8:AC36" si="5">D8/J8</f>
        <v>#DIV/0!</v>
      </c>
    </row>
    <row r="9" spans="1:29" s="1217" customFormat="1" ht="15">
      <c r="A9" s="2933"/>
      <c r="B9" s="2940" t="s">
        <v>2760</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614" t="s">
        <v>535</v>
      </c>
      <c r="Q9" s="1148" t="str">
        <f t="shared" ref="Q9:Q14" si="6">B9</f>
        <v>用途</v>
      </c>
      <c r="R9" s="1566" t="s">
        <v>8</v>
      </c>
      <c r="S9" s="1567">
        <f t="shared" si="0"/>
        <v>100</v>
      </c>
      <c r="T9" s="1566" t="s">
        <v>8</v>
      </c>
      <c r="U9" s="1567">
        <f t="shared" si="1"/>
        <v>100</v>
      </c>
      <c r="V9" s="1566" t="s">
        <v>8</v>
      </c>
      <c r="W9" s="1567">
        <f t="shared" si="2"/>
        <v>100</v>
      </c>
      <c r="X9" s="1568"/>
      <c r="Y9" s="3448"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614"/>
      <c r="Q10" s="1148" t="str">
        <f t="shared" si="6"/>
        <v>土地使用年限（年）</v>
      </c>
      <c r="R10" s="1566" t="s">
        <v>8</v>
      </c>
      <c r="S10" s="1567">
        <f t="shared" si="0"/>
        <v>100</v>
      </c>
      <c r="T10" s="1566" t="s">
        <v>8</v>
      </c>
      <c r="U10" s="1567">
        <f t="shared" si="1"/>
        <v>100</v>
      </c>
      <c r="V10" s="1566" t="s">
        <v>8</v>
      </c>
      <c r="W10" s="1567">
        <f t="shared" si="2"/>
        <v>100</v>
      </c>
      <c r="X10" s="1568"/>
      <c r="Y10" s="3448"/>
      <c r="Z10" s="1147" t="str">
        <f t="shared" si="7"/>
        <v>土地使用年限（年）</v>
      </c>
      <c r="AA10" s="1569">
        <f t="shared" si="3"/>
        <v>1</v>
      </c>
      <c r="AB10" s="1569">
        <f t="shared" si="4"/>
        <v>1</v>
      </c>
      <c r="AC10" s="1569">
        <f t="shared" si="5"/>
        <v>1</v>
      </c>
    </row>
    <row r="11" spans="1:29" ht="15">
      <c r="A11" s="2936"/>
      <c r="B11" s="2942">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614"/>
      <c r="Q11" s="1148">
        <f t="shared" si="6"/>
        <v>111</v>
      </c>
      <c r="R11" s="1566" t="s">
        <v>8</v>
      </c>
      <c r="S11" s="1567">
        <f t="shared" si="0"/>
        <v>100</v>
      </c>
      <c r="T11" s="1566" t="s">
        <v>8</v>
      </c>
      <c r="U11" s="1567">
        <f t="shared" si="1"/>
        <v>100</v>
      </c>
      <c r="V11" s="1566" t="s">
        <v>8</v>
      </c>
      <c r="W11" s="1567">
        <f t="shared" si="2"/>
        <v>100</v>
      </c>
      <c r="X11" s="1568"/>
      <c r="Y11" s="3448"/>
      <c r="Z11" s="1147">
        <f t="shared" si="7"/>
        <v>111</v>
      </c>
      <c r="AA11" s="1569">
        <f t="shared" si="3"/>
        <v>1</v>
      </c>
      <c r="AB11" s="1569">
        <f t="shared" si="4"/>
        <v>1</v>
      </c>
      <c r="AC11" s="1569">
        <f t="shared" si="5"/>
        <v>1</v>
      </c>
    </row>
    <row r="12" spans="1:29" s="1217" customFormat="1" ht="15">
      <c r="A12" s="2936"/>
      <c r="B12" s="2942">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614"/>
      <c r="Q12" s="1148">
        <f t="shared" si="6"/>
        <v>111</v>
      </c>
      <c r="R12" s="1566" t="s">
        <v>8</v>
      </c>
      <c r="S12" s="1567">
        <f t="shared" si="0"/>
        <v>100</v>
      </c>
      <c r="T12" s="1566" t="s">
        <v>8</v>
      </c>
      <c r="U12" s="1567">
        <f t="shared" si="1"/>
        <v>100</v>
      </c>
      <c r="V12" s="1566" t="s">
        <v>8</v>
      </c>
      <c r="W12" s="1567">
        <f t="shared" si="2"/>
        <v>100</v>
      </c>
      <c r="X12" s="1568"/>
      <c r="Y12" s="3448"/>
      <c r="Z12" s="1147">
        <f t="shared" si="7"/>
        <v>111</v>
      </c>
      <c r="AA12" s="1569">
        <f>D12/F12</f>
        <v>1</v>
      </c>
      <c r="AB12" s="1569">
        <f>D12/H12</f>
        <v>1</v>
      </c>
      <c r="AC12" s="1569">
        <f>D12/J12</f>
        <v>1</v>
      </c>
    </row>
    <row r="13" spans="1:29" ht="15.75" thickBot="1">
      <c r="A13" s="2937"/>
      <c r="B13" s="2943">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614"/>
      <c r="Q13" s="1148">
        <f t="shared" si="6"/>
        <v>111</v>
      </c>
      <c r="R13" s="1566" t="s">
        <v>8</v>
      </c>
      <c r="S13" s="1567">
        <f t="shared" si="0"/>
        <v>100</v>
      </c>
      <c r="T13" s="1566" t="s">
        <v>8</v>
      </c>
      <c r="U13" s="1567">
        <f t="shared" si="1"/>
        <v>100</v>
      </c>
      <c r="V13" s="1566" t="s">
        <v>8</v>
      </c>
      <c r="W13" s="1567">
        <f t="shared" si="2"/>
        <v>100</v>
      </c>
      <c r="X13" s="1568"/>
      <c r="Y13" s="3448"/>
      <c r="Z13" s="1147">
        <f t="shared" si="7"/>
        <v>111</v>
      </c>
      <c r="AA13" s="1569">
        <f t="shared" si="3"/>
        <v>1</v>
      </c>
      <c r="AB13" s="1569">
        <f t="shared" si="4"/>
        <v>1</v>
      </c>
      <c r="AC13" s="1569">
        <f t="shared" si="5"/>
        <v>1</v>
      </c>
    </row>
    <row r="14" spans="1:29" ht="256.5">
      <c r="A14" s="2929"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648" t="s">
        <v>540</v>
      </c>
      <c r="Q14" s="1570" t="str">
        <f t="shared" si="6"/>
        <v>交通便捷度</v>
      </c>
      <c r="R14" s="1571" t="s">
        <v>8</v>
      </c>
      <c r="S14" s="1572">
        <f t="shared" si="0"/>
        <v>100</v>
      </c>
      <c r="T14" s="1571" t="s">
        <v>8</v>
      </c>
      <c r="U14" s="1572">
        <f t="shared" si="1"/>
        <v>100</v>
      </c>
      <c r="V14" s="1571" t="s">
        <v>8</v>
      </c>
      <c r="W14" s="1572">
        <f t="shared" si="2"/>
        <v>100</v>
      </c>
      <c r="X14" s="1565"/>
      <c r="Y14" s="3648"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649"/>
      <c r="Q15" s="1570"/>
      <c r="R15" s="1571"/>
      <c r="S15" s="1572"/>
      <c r="T15" s="1571"/>
      <c r="U15" s="1572"/>
      <c r="V15" s="1571"/>
      <c r="W15" s="1572"/>
      <c r="X15" s="1565"/>
      <c r="Y15" s="3649"/>
      <c r="Z15" s="1573"/>
      <c r="AA15" s="1574">
        <v>1</v>
      </c>
      <c r="AB15" s="1574">
        <v>1</v>
      </c>
      <c r="AC15" s="1574">
        <v>1</v>
      </c>
    </row>
    <row r="16" spans="1:29" ht="42.75">
      <c r="A16" s="513"/>
      <c r="B16" s="2624"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649"/>
      <c r="Q16" s="1570" t="str">
        <f>B16</f>
        <v>公共配套设施</v>
      </c>
      <c r="R16" s="1571" t="s">
        <v>8</v>
      </c>
      <c r="S16" s="1572">
        <f>F16</f>
        <v>100</v>
      </c>
      <c r="T16" s="1571" t="s">
        <v>8</v>
      </c>
      <c r="U16" s="1572">
        <f>H16</f>
        <v>100</v>
      </c>
      <c r="V16" s="1571" t="s">
        <v>8</v>
      </c>
      <c r="W16" s="1572">
        <f>J16</f>
        <v>100</v>
      </c>
      <c r="X16" s="1565"/>
      <c r="Y16" s="3649"/>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649"/>
      <c r="Q17" s="1570"/>
      <c r="R17" s="1571"/>
      <c r="S17" s="1572"/>
      <c r="T17" s="1571"/>
      <c r="U17" s="1572"/>
      <c r="V17" s="1571"/>
      <c r="W17" s="1572"/>
      <c r="X17" s="1565"/>
      <c r="Y17" s="3649"/>
      <c r="Z17" s="1573"/>
      <c r="AA17" s="1574">
        <v>1</v>
      </c>
      <c r="AB17" s="1574">
        <v>1</v>
      </c>
      <c r="AC17" s="1574">
        <v>1</v>
      </c>
    </row>
    <row r="18" spans="1:29" ht="42.75">
      <c r="A18" s="513"/>
      <c r="B18" s="2612"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649"/>
      <c r="Q18" s="2600" t="str">
        <f>B18</f>
        <v>基础设施水平</v>
      </c>
      <c r="R18" s="1571" t="s">
        <v>8</v>
      </c>
      <c r="S18" s="1572">
        <f>F18</f>
        <v>100</v>
      </c>
      <c r="T18" s="1571" t="s">
        <v>8</v>
      </c>
      <c r="U18" s="1572">
        <f>H18</f>
        <v>100</v>
      </c>
      <c r="V18" s="1571" t="s">
        <v>8</v>
      </c>
      <c r="W18" s="1572">
        <f>J18</f>
        <v>100</v>
      </c>
      <c r="X18" s="2602"/>
      <c r="Y18" s="3649"/>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41"/>
      <c r="M19" s="2133"/>
      <c r="N19" s="2133"/>
      <c r="O19" s="2140"/>
      <c r="P19" s="3649"/>
      <c r="Q19" s="2600"/>
      <c r="R19" s="1571"/>
      <c r="S19" s="1572"/>
      <c r="T19" s="1571"/>
      <c r="U19" s="1572"/>
      <c r="V19" s="1571"/>
      <c r="W19" s="1572"/>
      <c r="X19" s="2602"/>
      <c r="Y19" s="3649"/>
      <c r="Z19" s="2601"/>
      <c r="AA19" s="1574">
        <v>1</v>
      </c>
      <c r="AB19" s="1574">
        <v>1</v>
      </c>
      <c r="AC19" s="1574">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649"/>
      <c r="Q20" s="1570" t="str">
        <f>B20</f>
        <v>自然及人文环境</v>
      </c>
      <c r="R20" s="1571" t="s">
        <v>8</v>
      </c>
      <c r="S20" s="1572">
        <f>F20</f>
        <v>100</v>
      </c>
      <c r="T20" s="1571" t="s">
        <v>8</v>
      </c>
      <c r="U20" s="1572">
        <f>H20</f>
        <v>100</v>
      </c>
      <c r="V20" s="1571" t="s">
        <v>8</v>
      </c>
      <c r="W20" s="1572">
        <f>J20</f>
        <v>100</v>
      </c>
      <c r="X20" s="1565"/>
      <c r="Y20" s="3649"/>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649"/>
      <c r="Q21" s="1570"/>
      <c r="R21" s="1571"/>
      <c r="S21" s="1572"/>
      <c r="T21" s="1571"/>
      <c r="U21" s="1572"/>
      <c r="V21" s="1571"/>
      <c r="W21" s="1572"/>
      <c r="X21" s="1565"/>
      <c r="Y21" s="3649"/>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649"/>
      <c r="Q22" s="1570" t="str">
        <f>B22</f>
        <v>楼层</v>
      </c>
      <c r="R22" s="1571" t="s">
        <v>8</v>
      </c>
      <c r="S22" s="1572">
        <f>F22</f>
        <v>100</v>
      </c>
      <c r="T22" s="1571" t="s">
        <v>8</v>
      </c>
      <c r="U22" s="1572">
        <f>H22</f>
        <v>100</v>
      </c>
      <c r="V22" s="1571" t="s">
        <v>8</v>
      </c>
      <c r="W22" s="1572">
        <f>J22</f>
        <v>100</v>
      </c>
      <c r="X22" s="1565"/>
      <c r="Y22" s="3649"/>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649"/>
      <c r="Q23" s="1570">
        <f>B23</f>
        <v>111</v>
      </c>
      <c r="R23" s="1571" t="s">
        <v>8</v>
      </c>
      <c r="S23" s="1572">
        <f>F23</f>
        <v>100</v>
      </c>
      <c r="T23" s="1571" t="s">
        <v>8</v>
      </c>
      <c r="U23" s="1572">
        <f>H23</f>
        <v>100</v>
      </c>
      <c r="V23" s="1571" t="s">
        <v>8</v>
      </c>
      <c r="W23" s="1572">
        <f>J23</f>
        <v>100</v>
      </c>
      <c r="X23" s="1565"/>
      <c r="Y23" s="3649"/>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649"/>
      <c r="Q24" s="1570">
        <f t="shared" ref="Q24:Q36" si="11">B24</f>
        <v>111</v>
      </c>
      <c r="R24" s="1571" t="s">
        <v>8</v>
      </c>
      <c r="S24" s="1572">
        <f>F24</f>
        <v>100</v>
      </c>
      <c r="T24" s="1571" t="s">
        <v>8</v>
      </c>
      <c r="U24" s="1572">
        <f>H24</f>
        <v>100</v>
      </c>
      <c r="V24" s="1571" t="s">
        <v>8</v>
      </c>
      <c r="W24" s="1572">
        <f>J24</f>
        <v>100</v>
      </c>
      <c r="X24" s="1565"/>
      <c r="Y24" s="3649"/>
      <c r="Z24" s="1573">
        <f>Q24</f>
        <v>111</v>
      </c>
      <c r="AA24" s="1574">
        <f t="shared" si="3"/>
        <v>1</v>
      </c>
      <c r="AB24" s="1574">
        <f t="shared" si="4"/>
        <v>1</v>
      </c>
      <c r="AC24" s="1574">
        <f t="shared" si="5"/>
        <v>1</v>
      </c>
    </row>
    <row r="25" spans="1:29" s="1217"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649"/>
      <c r="Q25" s="1148">
        <f t="shared" si="11"/>
        <v>111</v>
      </c>
      <c r="R25" s="1566" t="s">
        <v>8</v>
      </c>
      <c r="S25" s="1567">
        <f>F25</f>
        <v>100</v>
      </c>
      <c r="T25" s="1566" t="s">
        <v>8</v>
      </c>
      <c r="U25" s="1567">
        <f>H25</f>
        <v>100</v>
      </c>
      <c r="V25" s="1566" t="s">
        <v>8</v>
      </c>
      <c r="W25" s="1567">
        <f>J25</f>
        <v>100</v>
      </c>
      <c r="X25" s="1568"/>
      <c r="Y25" s="3649"/>
      <c r="Z25" s="1147">
        <f>Q25</f>
        <v>111</v>
      </c>
      <c r="AA25" s="1574">
        <f>D25/F25</f>
        <v>1</v>
      </c>
      <c r="AB25" s="1574">
        <f>D25/H25</f>
        <v>1</v>
      </c>
      <c r="AC25" s="1574">
        <f>D25/J25</f>
        <v>1</v>
      </c>
    </row>
    <row r="26" spans="1:29" ht="15">
      <c r="A26" s="2926"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65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651" t="s">
        <v>550</v>
      </c>
      <c r="Z26" s="1573" t="str">
        <f t="shared" ref="Z26:Z36" si="15">Q26</f>
        <v>配套类型</v>
      </c>
      <c r="AA26" s="1574">
        <f t="shared" si="3"/>
        <v>1</v>
      </c>
      <c r="AB26" s="1574">
        <f t="shared" si="4"/>
        <v>1</v>
      </c>
      <c r="AC26" s="1574">
        <f t="shared" si="5"/>
        <v>1</v>
      </c>
    </row>
    <row r="27" spans="1:29" s="1336"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651"/>
      <c r="Q27" s="1603" t="str">
        <f t="shared" si="11"/>
        <v>项目停车位配比</v>
      </c>
      <c r="R27" s="1575" t="s">
        <v>8</v>
      </c>
      <c r="S27" s="1576">
        <f t="shared" si="12"/>
        <v>100</v>
      </c>
      <c r="T27" s="1575" t="s">
        <v>8</v>
      </c>
      <c r="U27" s="1576">
        <f t="shared" si="13"/>
        <v>100</v>
      </c>
      <c r="V27" s="1575" t="s">
        <v>8</v>
      </c>
      <c r="W27" s="1576">
        <f t="shared" si="14"/>
        <v>100</v>
      </c>
      <c r="X27" s="1577"/>
      <c r="Y27" s="3651"/>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651"/>
      <c r="Q28" s="1570" t="str">
        <f t="shared" si="11"/>
        <v>公共部分装修</v>
      </c>
      <c r="R28" s="1571" t="s">
        <v>8</v>
      </c>
      <c r="S28" s="1572">
        <f t="shared" si="12"/>
        <v>100</v>
      </c>
      <c r="T28" s="1571" t="s">
        <v>8</v>
      </c>
      <c r="U28" s="1572">
        <f t="shared" si="13"/>
        <v>100</v>
      </c>
      <c r="V28" s="1571" t="s">
        <v>8</v>
      </c>
      <c r="W28" s="1572">
        <f t="shared" si="14"/>
        <v>100</v>
      </c>
      <c r="X28" s="1565"/>
      <c r="Y28" s="3651"/>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651"/>
      <c r="Q29" s="1570" t="str">
        <f t="shared" si="11"/>
        <v>成新率</v>
      </c>
      <c r="R29" s="1571" t="s">
        <v>8</v>
      </c>
      <c r="S29" s="1572" t="e">
        <f t="shared" si="12"/>
        <v>#N/A</v>
      </c>
      <c r="T29" s="1571" t="s">
        <v>8</v>
      </c>
      <c r="U29" s="1572" t="e">
        <f t="shared" si="13"/>
        <v>#N/A</v>
      </c>
      <c r="V29" s="1571" t="s">
        <v>8</v>
      </c>
      <c r="W29" s="1572" t="e">
        <f t="shared" si="14"/>
        <v>#N/A</v>
      </c>
      <c r="X29" s="1565"/>
      <c r="Y29" s="3651"/>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651"/>
      <c r="Q30" s="1570" t="str">
        <f t="shared" si="11"/>
        <v>物业等级</v>
      </c>
      <c r="R30" s="1571" t="s">
        <v>8</v>
      </c>
      <c r="S30" s="1572">
        <f t="shared" si="12"/>
        <v>100</v>
      </c>
      <c r="T30" s="1571" t="s">
        <v>8</v>
      </c>
      <c r="U30" s="1572">
        <f t="shared" si="13"/>
        <v>100</v>
      </c>
      <c r="V30" s="1571" t="s">
        <v>8</v>
      </c>
      <c r="W30" s="1572">
        <f t="shared" si="14"/>
        <v>100</v>
      </c>
      <c r="X30" s="1565"/>
      <c r="Y30" s="3651"/>
      <c r="Z30" s="1573" t="str">
        <f t="shared" si="15"/>
        <v>物业等级</v>
      </c>
      <c r="AA30" s="1574">
        <f t="shared" si="3"/>
        <v>1</v>
      </c>
      <c r="AB30" s="1574">
        <f t="shared" si="4"/>
        <v>1</v>
      </c>
      <c r="AC30" s="1574">
        <f t="shared" si="5"/>
        <v>1</v>
      </c>
    </row>
    <row r="31" spans="1:29" s="1217"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651"/>
      <c r="Q31" s="1148" t="str">
        <f t="shared" si="11"/>
        <v>停车位面积</v>
      </c>
      <c r="R31" s="1566" t="s">
        <v>8</v>
      </c>
      <c r="S31" s="1567" t="e">
        <f t="shared" si="12"/>
        <v>#N/A</v>
      </c>
      <c r="T31" s="1566" t="s">
        <v>8</v>
      </c>
      <c r="U31" s="1567" t="e">
        <f t="shared" si="13"/>
        <v>#N/A</v>
      </c>
      <c r="V31" s="1566" t="s">
        <v>8</v>
      </c>
      <c r="W31" s="1567" t="e">
        <f t="shared" si="14"/>
        <v>#N/A</v>
      </c>
      <c r="X31" s="1568"/>
      <c r="Y31" s="3651"/>
      <c r="Z31" s="1147"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651" t="s">
        <v>550</v>
      </c>
      <c r="Q32" s="1570" t="str">
        <f t="shared" si="11"/>
        <v>车位类型</v>
      </c>
      <c r="R32" s="1571" t="s">
        <v>8</v>
      </c>
      <c r="S32" s="1572">
        <f t="shared" si="12"/>
        <v>100</v>
      </c>
      <c r="T32" s="1571" t="s">
        <v>8</v>
      </c>
      <c r="U32" s="1572">
        <f t="shared" si="13"/>
        <v>100</v>
      </c>
      <c r="V32" s="1571" t="s">
        <v>8</v>
      </c>
      <c r="W32" s="1572">
        <f t="shared" si="14"/>
        <v>100</v>
      </c>
      <c r="X32" s="1565"/>
      <c r="Y32" s="3651"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651"/>
      <c r="Q33" s="1570" t="str">
        <f t="shared" si="11"/>
        <v>是否直接入户</v>
      </c>
      <c r="R33" s="1571" t="s">
        <v>8</v>
      </c>
      <c r="S33" s="1572">
        <f t="shared" si="12"/>
        <v>100</v>
      </c>
      <c r="T33" s="1571" t="s">
        <v>8</v>
      </c>
      <c r="U33" s="1572">
        <f t="shared" si="13"/>
        <v>100</v>
      </c>
      <c r="V33" s="1571" t="s">
        <v>8</v>
      </c>
      <c r="W33" s="1572">
        <f t="shared" si="14"/>
        <v>100</v>
      </c>
      <c r="X33" s="1565"/>
      <c r="Y33" s="3651"/>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651"/>
      <c r="Q34" s="1570">
        <f t="shared" si="11"/>
        <v>111</v>
      </c>
      <c r="R34" s="1571" t="s">
        <v>8</v>
      </c>
      <c r="S34" s="1572">
        <f t="shared" si="12"/>
        <v>100</v>
      </c>
      <c r="T34" s="1571" t="s">
        <v>8</v>
      </c>
      <c r="U34" s="1572">
        <f t="shared" si="13"/>
        <v>100</v>
      </c>
      <c r="V34" s="1571" t="s">
        <v>8</v>
      </c>
      <c r="W34" s="1572">
        <f t="shared" si="14"/>
        <v>100</v>
      </c>
      <c r="X34" s="1565"/>
      <c r="Y34" s="3651"/>
      <c r="Z34" s="1573">
        <f t="shared" si="15"/>
        <v>111</v>
      </c>
      <c r="AA34" s="1574">
        <f t="shared" si="3"/>
        <v>1</v>
      </c>
      <c r="AB34" s="1574">
        <f t="shared" si="4"/>
        <v>1</v>
      </c>
      <c r="AC34" s="1574">
        <f t="shared" si="5"/>
        <v>1</v>
      </c>
    </row>
    <row r="35" spans="1:29" s="1336"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651"/>
      <c r="Q35" s="1603">
        <f t="shared" si="11"/>
        <v>111</v>
      </c>
      <c r="R35" s="1575" t="s">
        <v>8</v>
      </c>
      <c r="S35" s="1576">
        <f t="shared" si="12"/>
        <v>100</v>
      </c>
      <c r="T35" s="1575" t="s">
        <v>8</v>
      </c>
      <c r="U35" s="1576">
        <f t="shared" si="13"/>
        <v>100</v>
      </c>
      <c r="V35" s="1575" t="s">
        <v>8</v>
      </c>
      <c r="W35" s="1576">
        <f t="shared" si="14"/>
        <v>100</v>
      </c>
      <c r="X35" s="1577"/>
      <c r="Y35" s="3651"/>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651"/>
      <c r="Q36" s="1570">
        <f t="shared" si="11"/>
        <v>111</v>
      </c>
      <c r="R36" s="1571" t="s">
        <v>8</v>
      </c>
      <c r="S36" s="1572">
        <f t="shared" si="12"/>
        <v>100</v>
      </c>
      <c r="T36" s="1571" t="s">
        <v>8</v>
      </c>
      <c r="U36" s="1572">
        <f t="shared" si="13"/>
        <v>100</v>
      </c>
      <c r="V36" s="1571" t="s">
        <v>8</v>
      </c>
      <c r="W36" s="1572">
        <f t="shared" si="14"/>
        <v>100</v>
      </c>
      <c r="X36" s="1565"/>
      <c r="Y36" s="3651"/>
      <c r="Z36" s="1573">
        <f t="shared" si="15"/>
        <v>111</v>
      </c>
      <c r="AA36" s="1574">
        <f t="shared" si="3"/>
        <v>1</v>
      </c>
      <c r="AB36" s="1574">
        <f t="shared" si="4"/>
        <v>1</v>
      </c>
      <c r="AC36" s="1574">
        <f t="shared" si="5"/>
        <v>1</v>
      </c>
    </row>
    <row r="37" spans="1:29" ht="15">
      <c r="A37" s="1845" t="s">
        <v>2080</v>
      </c>
      <c r="B37" s="1846" t="s">
        <v>2081</v>
      </c>
      <c r="C37" s="2648" t="s">
        <v>1</v>
      </c>
      <c r="D37" s="2649"/>
      <c r="E37" s="2650"/>
      <c r="F37" s="2651"/>
      <c r="G37" s="2652"/>
      <c r="H37" s="2653"/>
      <c r="I37" s="2650"/>
      <c r="J37" s="2653"/>
      <c r="K37" s="1609"/>
      <c r="L37" s="2143"/>
      <c r="M37" s="2144"/>
      <c r="N37" s="2133"/>
      <c r="O37" s="2144"/>
      <c r="P37" s="3614" t="str">
        <f>A37</f>
        <v>成交单价</v>
      </c>
      <c r="Q37" s="3614"/>
      <c r="R37" s="3727">
        <f>E37</f>
        <v>0</v>
      </c>
      <c r="S37" s="3727"/>
      <c r="T37" s="3727">
        <f>G37</f>
        <v>0</v>
      </c>
      <c r="U37" s="3727"/>
      <c r="V37" s="3727">
        <f>I37</f>
        <v>0</v>
      </c>
      <c r="W37" s="3727"/>
      <c r="X37" s="1557"/>
      <c r="Y37" s="1579"/>
      <c r="Z37" s="1557"/>
      <c r="AA37" s="1557"/>
      <c r="AB37" s="1557"/>
      <c r="AC37" s="1557"/>
    </row>
    <row r="38" spans="1:29" ht="15.75" thickBot="1">
      <c r="A38" s="613" t="s">
        <v>2764</v>
      </c>
      <c r="B38" s="886"/>
      <c r="C38" s="2654" t="e">
        <f>R39</f>
        <v>#DIV/0!</v>
      </c>
      <c r="D38" s="2655"/>
      <c r="E38" s="2656" t="e">
        <f>R38</f>
        <v>#DIV/0!</v>
      </c>
      <c r="F38" s="2656"/>
      <c r="G38" s="2654" t="e">
        <f>T38</f>
        <v>#DIV/0!</v>
      </c>
      <c r="H38" s="2655"/>
      <c r="I38" s="2656" t="e">
        <f>V38</f>
        <v>#DIV/0!</v>
      </c>
      <c r="J38" s="2655"/>
      <c r="K38" s="1610"/>
      <c r="L38" s="2143"/>
      <c r="M38" s="2144"/>
      <c r="N38" s="2144"/>
      <c r="O38" s="2144"/>
      <c r="P38" s="3614" t="str">
        <f>A38</f>
        <v>比较价格（元/平方米）</v>
      </c>
      <c r="Q38" s="3614"/>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557"/>
      <c r="Y38" s="1557"/>
      <c r="Z38" s="1557"/>
      <c r="AA38" s="1557"/>
      <c r="AB38" s="1557"/>
      <c r="AC38" s="1557"/>
    </row>
    <row r="39" spans="1:29" ht="15.75" thickBot="1">
      <c r="A39" s="619" t="s">
        <v>2936</v>
      </c>
      <c r="B39" s="620"/>
      <c r="C39" s="2657" t="e">
        <f>R39</f>
        <v>#DIV/0!</v>
      </c>
      <c r="D39" s="2657"/>
      <c r="E39" s="2657"/>
      <c r="F39" s="2657"/>
      <c r="G39" s="2657"/>
      <c r="H39" s="2657"/>
      <c r="I39" s="2657"/>
      <c r="J39" s="2657"/>
      <c r="K39" s="1611"/>
      <c r="L39" s="2143"/>
      <c r="M39" s="2144"/>
      <c r="N39" s="2144"/>
      <c r="O39" s="2144"/>
      <c r="P39" s="3611" t="str">
        <f>A39</f>
        <v>估价对象XX用房的比较价格（楼面单价，元/平方米）</v>
      </c>
      <c r="Q39" s="3612"/>
      <c r="R39" s="3726" t="e">
        <f>IF(F1="售价",ROUND(AVERAGE(R38:V38),0),ROUND(AVERAGE(R38:V38),1))</f>
        <v>#DIV/0!</v>
      </c>
      <c r="S39" s="3726"/>
      <c r="T39" s="3726"/>
      <c r="U39" s="3726"/>
      <c r="V39" s="3726"/>
      <c r="W39" s="372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3" t="s">
        <v>529</v>
      </c>
      <c r="B48" s="644"/>
      <c r="C48" s="2821" t="str">
        <f>YEAR(C7)&amp;"-"&amp;MONTH(C7)</f>
        <v>2018-10</v>
      </c>
      <c r="D48" s="2823">
        <f>EDATE(C48,-1)</f>
        <v>43344</v>
      </c>
      <c r="E48" s="2823">
        <f t="shared" ref="E48:O48" si="16">EDATE(D48,-1)</f>
        <v>43313</v>
      </c>
      <c r="F48" s="2823">
        <f t="shared" si="16"/>
        <v>43282</v>
      </c>
      <c r="G48" s="2823">
        <f t="shared" si="16"/>
        <v>43252</v>
      </c>
      <c r="H48" s="2823">
        <f t="shared" si="16"/>
        <v>43221</v>
      </c>
      <c r="I48" s="2823">
        <f t="shared" si="16"/>
        <v>43191</v>
      </c>
      <c r="J48" s="2823">
        <f t="shared" si="16"/>
        <v>43160</v>
      </c>
      <c r="K48" s="2823">
        <f t="shared" si="16"/>
        <v>43132</v>
      </c>
      <c r="L48" s="2823">
        <f t="shared" si="16"/>
        <v>43101</v>
      </c>
      <c r="M48" s="2823">
        <f t="shared" si="16"/>
        <v>43070</v>
      </c>
      <c r="N48" s="2823">
        <f t="shared" si="16"/>
        <v>43040</v>
      </c>
      <c r="O48" s="2823">
        <f t="shared" si="16"/>
        <v>43009</v>
      </c>
      <c r="P48" s="2159"/>
      <c r="Q48" s="2160"/>
      <c r="R48" s="2160"/>
      <c r="S48" s="2160"/>
      <c r="T48" s="2160"/>
      <c r="U48" s="2160"/>
      <c r="V48" s="2160"/>
      <c r="W48" s="2160"/>
      <c r="X48" s="2160"/>
      <c r="Y48" s="2160"/>
      <c r="Z48" s="2160"/>
      <c r="AA48" s="2160"/>
      <c r="AB48" s="2160"/>
      <c r="AC48" s="2160"/>
    </row>
    <row r="49" spans="1:29" s="1217" customFormat="1" ht="15">
      <c r="A49" s="645"/>
      <c r="B49" s="646"/>
      <c r="C49" s="2822">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7" customFormat="1" ht="15.75" thickBot="1">
      <c r="A50" s="651" t="s">
        <v>575</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7" customFormat="1" ht="15">
      <c r="A51" s="657" t="s">
        <v>531</v>
      </c>
      <c r="B51" s="646"/>
      <c r="C51" s="658" t="s">
        <v>576</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577</v>
      </c>
      <c r="B53" s="663" t="s">
        <v>534</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2561</v>
      </c>
      <c r="C65" s="706" t="s">
        <v>579</v>
      </c>
      <c r="D65" s="706" t="s">
        <v>580</v>
      </c>
      <c r="E65" s="706" t="s">
        <v>581</v>
      </c>
      <c r="F65" s="706" t="s">
        <v>582</v>
      </c>
      <c r="G65" s="706" t="s">
        <v>583</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18" t="s">
        <v>2562</v>
      </c>
      <c r="C67" s="2619" t="s">
        <v>2563</v>
      </c>
      <c r="D67" s="2619" t="s">
        <v>2564</v>
      </c>
      <c r="E67" s="2619" t="s">
        <v>2565</v>
      </c>
      <c r="F67" s="2619" t="s">
        <v>2566</v>
      </c>
      <c r="G67" s="2619" t="s">
        <v>2567</v>
      </c>
      <c r="H67" s="672"/>
      <c r="I67" s="672"/>
      <c r="J67" s="672"/>
      <c r="K67" s="672"/>
      <c r="L67" s="672"/>
      <c r="M67" s="2622"/>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744</v>
      </c>
      <c r="C69" s="706" t="s">
        <v>579</v>
      </c>
      <c r="D69" s="706" t="s">
        <v>580</v>
      </c>
      <c r="E69" s="706" t="s">
        <v>581</v>
      </c>
      <c r="F69" s="706" t="s">
        <v>582</v>
      </c>
      <c r="G69" s="706" t="s">
        <v>583</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745</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551</v>
      </c>
      <c r="B79" s="663" t="s">
        <v>814</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751</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820</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6"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C37</f>
        <v>#DIV/0!</v>
      </c>
      <c r="C3" s="850" t="s">
        <v>796</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20" t="s">
        <v>798</v>
      </c>
      <c r="D4" s="3621"/>
      <c r="E4" s="3654" t="s">
        <v>799</v>
      </c>
      <c r="F4" s="3655"/>
      <c r="G4" s="3620" t="s">
        <v>800</v>
      </c>
      <c r="H4" s="3621"/>
      <c r="I4" s="3620" t="s">
        <v>801</v>
      </c>
      <c r="J4" s="3621"/>
      <c r="K4" s="512" t="s">
        <v>802</v>
      </c>
      <c r="L4" s="2132"/>
      <c r="M4" s="2133"/>
      <c r="N4" s="2133"/>
      <c r="O4" s="2133"/>
      <c r="P4" s="3622" t="s">
        <v>803</v>
      </c>
      <c r="Q4" s="3623"/>
      <c r="R4" s="3628" t="s">
        <v>799</v>
      </c>
      <c r="S4" s="3629"/>
      <c r="T4" s="3628" t="s">
        <v>800</v>
      </c>
      <c r="U4" s="3629"/>
      <c r="V4" s="3615" t="s">
        <v>801</v>
      </c>
      <c r="W4" s="3615"/>
      <c r="X4" s="1565"/>
      <c r="Y4" s="3628" t="s">
        <v>803</v>
      </c>
      <c r="Z4" s="3629"/>
      <c r="AA4" s="3617" t="s">
        <v>799</v>
      </c>
      <c r="AB4" s="3618" t="s">
        <v>800</v>
      </c>
      <c r="AC4" s="3617" t="s">
        <v>801</v>
      </c>
    </row>
    <row r="5" spans="1:29" ht="15">
      <c r="A5" s="513"/>
      <c r="B5" s="514"/>
      <c r="C5" s="3636" t="s">
        <v>2930</v>
      </c>
      <c r="D5" s="3637"/>
      <c r="E5" s="3656" t="s">
        <v>2931</v>
      </c>
      <c r="F5" s="3657"/>
      <c r="G5" s="3636" t="s">
        <v>2932</v>
      </c>
      <c r="H5" s="3637"/>
      <c r="I5" s="3636" t="s">
        <v>2933</v>
      </c>
      <c r="J5" s="3637"/>
      <c r="K5" s="512"/>
      <c r="L5" s="2132"/>
      <c r="M5" s="2133"/>
      <c r="N5" s="2133"/>
      <c r="O5" s="2133"/>
      <c r="P5" s="3624"/>
      <c r="Q5" s="3625"/>
      <c r="R5" s="3630"/>
      <c r="S5" s="3631"/>
      <c r="T5" s="3630"/>
      <c r="U5" s="3631"/>
      <c r="V5" s="3615"/>
      <c r="W5" s="3615"/>
      <c r="X5" s="1565"/>
      <c r="Y5" s="3630"/>
      <c r="Z5" s="3631"/>
      <c r="AA5" s="3618"/>
      <c r="AB5" s="3618"/>
      <c r="AC5" s="3618"/>
    </row>
    <row r="6" spans="1:29" ht="15.75" thickBot="1">
      <c r="A6" s="515"/>
      <c r="B6" s="516"/>
      <c r="C6" s="3634" t="s">
        <v>2934</v>
      </c>
      <c r="D6" s="3635"/>
      <c r="E6" s="3652" t="s">
        <v>2934</v>
      </c>
      <c r="F6" s="3653"/>
      <c r="G6" s="3634" t="s">
        <v>2934</v>
      </c>
      <c r="H6" s="3635"/>
      <c r="I6" s="3634" t="s">
        <v>2934</v>
      </c>
      <c r="J6" s="3635"/>
      <c r="K6" s="512" t="s">
        <v>528</v>
      </c>
      <c r="L6" s="2132"/>
      <c r="M6" s="2133"/>
      <c r="N6" s="2133"/>
      <c r="O6" s="2133"/>
      <c r="P6" s="3626"/>
      <c r="Q6" s="3627"/>
      <c r="R6" s="3630"/>
      <c r="S6" s="3631"/>
      <c r="T6" s="3632"/>
      <c r="U6" s="3633"/>
      <c r="V6" s="3615"/>
      <c r="W6" s="3615"/>
      <c r="X6" s="1565"/>
      <c r="Y6" s="3632"/>
      <c r="Z6" s="3633"/>
      <c r="AA6" s="3619"/>
      <c r="AB6" s="3619"/>
      <c r="AC6" s="3619"/>
    </row>
    <row r="7" spans="1:29" s="1217" customFormat="1" ht="15.75" thickBot="1">
      <c r="A7" s="2931"/>
      <c r="B7" s="2938" t="s">
        <v>529</v>
      </c>
      <c r="C7" s="517">
        <f>'数据-取费表'!B2</f>
        <v>43382</v>
      </c>
      <c r="D7" s="518">
        <v>100</v>
      </c>
      <c r="E7" s="519"/>
      <c r="F7" s="520">
        <f>SUMIF(46:46,YEAR(E7)&amp;"-"&amp;MONTH(E7),47:47)</f>
        <v>0</v>
      </c>
      <c r="G7" s="521"/>
      <c r="H7" s="518">
        <f>SUMIF(46:46,YEAR(G7)&amp;"-"&amp;MONTH(G7),47:47)</f>
        <v>0</v>
      </c>
      <c r="I7" s="521"/>
      <c r="J7" s="518">
        <f>SUMIF(46:46,YEAR(I7)&amp;"-"&amp;MONTH(I7),47:47)</f>
        <v>0</v>
      </c>
      <c r="K7" s="522"/>
      <c r="L7" s="2134"/>
      <c r="M7" s="2135"/>
      <c r="N7" s="2135"/>
      <c r="O7" s="2135"/>
      <c r="P7" s="3645" t="s">
        <v>530</v>
      </c>
      <c r="Q7" s="3647"/>
      <c r="R7" s="1566" t="s">
        <v>8</v>
      </c>
      <c r="S7" s="1567">
        <f t="shared" ref="S7:S14" si="0">F7</f>
        <v>0</v>
      </c>
      <c r="T7" s="1566" t="s">
        <v>8</v>
      </c>
      <c r="U7" s="1567">
        <f t="shared" ref="U7:U14" si="1">H7</f>
        <v>0</v>
      </c>
      <c r="V7" s="1566" t="s">
        <v>8</v>
      </c>
      <c r="W7" s="1567">
        <f t="shared" ref="W7:W14" si="2">J7</f>
        <v>0</v>
      </c>
      <c r="X7" s="1568"/>
      <c r="Y7" s="3645" t="s">
        <v>530</v>
      </c>
      <c r="Z7" s="3646"/>
      <c r="AA7" s="1569" t="e">
        <f>D7/F7</f>
        <v>#DIV/0!</v>
      </c>
      <c r="AB7" s="1569" t="e">
        <f>D7/H7</f>
        <v>#DIV/0!</v>
      </c>
      <c r="AC7" s="1569" t="e">
        <f>D7/J7</f>
        <v>#DIV/0!</v>
      </c>
    </row>
    <row r="8" spans="1:29" s="1217" customFormat="1" ht="15.75" thickBot="1">
      <c r="A8" s="2932"/>
      <c r="B8" s="2939" t="s">
        <v>531</v>
      </c>
      <c r="C8" s="523" t="s">
        <v>576</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645" t="s">
        <v>533</v>
      </c>
      <c r="Q8" s="3646"/>
      <c r="R8" s="1566" t="s">
        <v>8</v>
      </c>
      <c r="S8" s="1567">
        <f t="shared" si="0"/>
        <v>0</v>
      </c>
      <c r="T8" s="1566" t="s">
        <v>8</v>
      </c>
      <c r="U8" s="1567">
        <f t="shared" si="1"/>
        <v>0</v>
      </c>
      <c r="V8" s="1566" t="s">
        <v>8</v>
      </c>
      <c r="W8" s="1567">
        <f t="shared" si="2"/>
        <v>0</v>
      </c>
      <c r="X8" s="1568"/>
      <c r="Y8" s="3645" t="s">
        <v>533</v>
      </c>
      <c r="Z8" s="3646"/>
      <c r="AA8" s="1569" t="e">
        <f t="shared" ref="AA8:AA34" si="3">D8/F8</f>
        <v>#DIV/0!</v>
      </c>
      <c r="AB8" s="1569" t="e">
        <f t="shared" ref="AB8:AB34" si="4">D8/H8</f>
        <v>#DIV/0!</v>
      </c>
      <c r="AC8" s="1569" t="e">
        <f t="shared" ref="AC8:AC34" si="5">D8/J8</f>
        <v>#DIV/0!</v>
      </c>
    </row>
    <row r="9" spans="1:29" s="1217" customFormat="1" ht="15">
      <c r="A9" s="2933"/>
      <c r="B9" s="2940" t="s">
        <v>2760</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614" t="s">
        <v>535</v>
      </c>
      <c r="Q9" s="1148" t="str">
        <f t="shared" ref="Q9:Q14" si="6">B9</f>
        <v>用途</v>
      </c>
      <c r="R9" s="1566" t="s">
        <v>8</v>
      </c>
      <c r="S9" s="1567">
        <f t="shared" si="0"/>
        <v>100</v>
      </c>
      <c r="T9" s="1566" t="s">
        <v>8</v>
      </c>
      <c r="U9" s="1567">
        <f t="shared" si="1"/>
        <v>100</v>
      </c>
      <c r="V9" s="1566" t="s">
        <v>8</v>
      </c>
      <c r="W9" s="1567">
        <f t="shared" si="2"/>
        <v>100</v>
      </c>
      <c r="X9" s="1568"/>
      <c r="Y9" s="3448"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614"/>
      <c r="Q10" s="1148" t="str">
        <f t="shared" si="6"/>
        <v>土地使用年限（年）</v>
      </c>
      <c r="R10" s="1566" t="s">
        <v>8</v>
      </c>
      <c r="S10" s="1567">
        <f t="shared" si="0"/>
        <v>100</v>
      </c>
      <c r="T10" s="1566" t="s">
        <v>8</v>
      </c>
      <c r="U10" s="1567">
        <f t="shared" si="1"/>
        <v>100</v>
      </c>
      <c r="V10" s="1566" t="s">
        <v>8</v>
      </c>
      <c r="W10" s="1567">
        <f t="shared" si="2"/>
        <v>100</v>
      </c>
      <c r="X10" s="1568"/>
      <c r="Y10" s="3448"/>
      <c r="Z10" s="1147" t="str">
        <f t="shared" si="7"/>
        <v>土地使用年限（年）</v>
      </c>
      <c r="AA10" s="1569">
        <f t="shared" si="3"/>
        <v>1</v>
      </c>
      <c r="AB10" s="1569">
        <f t="shared" si="4"/>
        <v>1</v>
      </c>
      <c r="AC10" s="1569">
        <f t="shared" si="5"/>
        <v>1</v>
      </c>
    </row>
    <row r="11" spans="1:29" ht="15">
      <c r="A11" s="2936"/>
      <c r="B11" s="294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614"/>
      <c r="Q11" s="1148">
        <f t="shared" si="6"/>
        <v>111</v>
      </c>
      <c r="R11" s="1566" t="s">
        <v>8</v>
      </c>
      <c r="S11" s="1567">
        <f t="shared" si="0"/>
        <v>100</v>
      </c>
      <c r="T11" s="1566" t="s">
        <v>8</v>
      </c>
      <c r="U11" s="1567">
        <f t="shared" si="1"/>
        <v>100</v>
      </c>
      <c r="V11" s="1566" t="s">
        <v>8</v>
      </c>
      <c r="W11" s="1567">
        <f t="shared" si="2"/>
        <v>100</v>
      </c>
      <c r="X11" s="1568"/>
      <c r="Y11" s="3448"/>
      <c r="Z11" s="1147">
        <f t="shared" si="7"/>
        <v>111</v>
      </c>
      <c r="AA11" s="1569">
        <f t="shared" si="3"/>
        <v>1</v>
      </c>
      <c r="AB11" s="1569">
        <f t="shared" si="4"/>
        <v>1</v>
      </c>
      <c r="AC11" s="1569">
        <f t="shared" si="5"/>
        <v>1</v>
      </c>
    </row>
    <row r="12" spans="1:29" s="1217" customFormat="1" ht="15">
      <c r="A12" s="2936"/>
      <c r="B12" s="294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614"/>
      <c r="Q12" s="1148">
        <f t="shared" si="6"/>
        <v>111</v>
      </c>
      <c r="R12" s="1566" t="s">
        <v>8</v>
      </c>
      <c r="S12" s="1567">
        <f t="shared" si="0"/>
        <v>100</v>
      </c>
      <c r="T12" s="1566" t="s">
        <v>8</v>
      </c>
      <c r="U12" s="1567">
        <f t="shared" si="1"/>
        <v>100</v>
      </c>
      <c r="V12" s="1566" t="s">
        <v>8</v>
      </c>
      <c r="W12" s="1567">
        <f t="shared" si="2"/>
        <v>100</v>
      </c>
      <c r="X12" s="1568"/>
      <c r="Y12" s="3448"/>
      <c r="Z12" s="1147">
        <f t="shared" si="7"/>
        <v>111</v>
      </c>
      <c r="AA12" s="1569">
        <f>D12/F12</f>
        <v>1</v>
      </c>
      <c r="AB12" s="1569">
        <f>D12/H12</f>
        <v>1</v>
      </c>
      <c r="AC12" s="1569">
        <f>D12/J12</f>
        <v>1</v>
      </c>
    </row>
    <row r="13" spans="1:29" ht="15.75" thickBot="1">
      <c r="A13" s="2937"/>
      <c r="B13" s="294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614"/>
      <c r="Q13" s="1148">
        <f t="shared" si="6"/>
        <v>111</v>
      </c>
      <c r="R13" s="1566" t="s">
        <v>8</v>
      </c>
      <c r="S13" s="1567">
        <f t="shared" si="0"/>
        <v>100</v>
      </c>
      <c r="T13" s="1566" t="s">
        <v>8</v>
      </c>
      <c r="U13" s="1567">
        <f t="shared" si="1"/>
        <v>100</v>
      </c>
      <c r="V13" s="1566" t="s">
        <v>8</v>
      </c>
      <c r="W13" s="1567">
        <f t="shared" si="2"/>
        <v>100</v>
      </c>
      <c r="X13" s="1568"/>
      <c r="Y13" s="3448"/>
      <c r="Z13" s="1147">
        <f t="shared" si="7"/>
        <v>111</v>
      </c>
      <c r="AA13" s="1569">
        <f t="shared" si="3"/>
        <v>1</v>
      </c>
      <c r="AB13" s="1569">
        <f t="shared" si="4"/>
        <v>1</v>
      </c>
      <c r="AC13" s="1569">
        <f t="shared" si="5"/>
        <v>1</v>
      </c>
    </row>
    <row r="14" spans="1:29" ht="256.5">
      <c r="A14" s="2929"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648" t="s">
        <v>540</v>
      </c>
      <c r="Q14" s="1570" t="str">
        <f t="shared" si="6"/>
        <v>交通便捷度</v>
      </c>
      <c r="R14" s="1571" t="s">
        <v>8</v>
      </c>
      <c r="S14" s="1572">
        <f t="shared" si="0"/>
        <v>100</v>
      </c>
      <c r="T14" s="1571" t="s">
        <v>8</v>
      </c>
      <c r="U14" s="1572">
        <f t="shared" si="1"/>
        <v>100</v>
      </c>
      <c r="V14" s="1571" t="s">
        <v>8</v>
      </c>
      <c r="W14" s="1572">
        <f t="shared" si="2"/>
        <v>100</v>
      </c>
      <c r="X14" s="1565"/>
      <c r="Y14" s="3648"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649"/>
      <c r="Q15" s="1570"/>
      <c r="R15" s="1571"/>
      <c r="S15" s="1572"/>
      <c r="T15" s="1571"/>
      <c r="U15" s="1572"/>
      <c r="V15" s="1571"/>
      <c r="W15" s="1572"/>
      <c r="X15" s="1565"/>
      <c r="Y15" s="3649"/>
      <c r="Z15" s="1573"/>
      <c r="AA15" s="1574">
        <v>1</v>
      </c>
      <c r="AB15" s="1574">
        <v>1</v>
      </c>
      <c r="AC15" s="1574">
        <v>1</v>
      </c>
    </row>
    <row r="16" spans="1:29" ht="42.75">
      <c r="A16" s="530"/>
      <c r="B16" s="2624"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649"/>
      <c r="Q16" s="1570" t="str">
        <f>B16</f>
        <v>公共配套设施</v>
      </c>
      <c r="R16" s="1571" t="s">
        <v>8</v>
      </c>
      <c r="S16" s="1572">
        <f>F16</f>
        <v>100</v>
      </c>
      <c r="T16" s="1571" t="s">
        <v>8</v>
      </c>
      <c r="U16" s="1572">
        <f>H16</f>
        <v>100</v>
      </c>
      <c r="V16" s="1571" t="s">
        <v>8</v>
      </c>
      <c r="W16" s="1572">
        <f>J16</f>
        <v>100</v>
      </c>
      <c r="X16" s="1565"/>
      <c r="Y16" s="364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649"/>
      <c r="Q17" s="1570"/>
      <c r="R17" s="1571"/>
      <c r="S17" s="1572"/>
      <c r="T17" s="1571"/>
      <c r="U17" s="1572"/>
      <c r="V17" s="1571"/>
      <c r="W17" s="1572"/>
      <c r="X17" s="1565"/>
      <c r="Y17" s="3649"/>
      <c r="Z17" s="1573"/>
      <c r="AA17" s="1574">
        <v>1</v>
      </c>
      <c r="AB17" s="1574">
        <v>1</v>
      </c>
      <c r="AC17" s="1574">
        <v>1</v>
      </c>
    </row>
    <row r="18" spans="1:29" ht="42.75">
      <c r="A18" s="530"/>
      <c r="B18" s="2612"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649"/>
      <c r="Q18" s="2600" t="str">
        <f>B18</f>
        <v>基础设施水平</v>
      </c>
      <c r="R18" s="1571" t="s">
        <v>8</v>
      </c>
      <c r="S18" s="1572">
        <f>F18</f>
        <v>100</v>
      </c>
      <c r="T18" s="1571" t="s">
        <v>8</v>
      </c>
      <c r="U18" s="1572">
        <f>H18</f>
        <v>100</v>
      </c>
      <c r="V18" s="1571" t="s">
        <v>8</v>
      </c>
      <c r="W18" s="1572">
        <f>J18</f>
        <v>100</v>
      </c>
      <c r="X18" s="2602"/>
      <c r="Y18" s="3649"/>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41"/>
      <c r="M19" s="2133"/>
      <c r="N19" s="2133"/>
      <c r="O19" s="2140"/>
      <c r="P19" s="3649"/>
      <c r="Q19" s="2600"/>
      <c r="R19" s="1571"/>
      <c r="S19" s="1572"/>
      <c r="T19" s="1571"/>
      <c r="U19" s="1572"/>
      <c r="V19" s="1571"/>
      <c r="W19" s="1572"/>
      <c r="X19" s="2602"/>
      <c r="Y19" s="3649"/>
      <c r="Z19" s="2601"/>
      <c r="AA19" s="1574">
        <v>1</v>
      </c>
      <c r="AB19" s="1574">
        <v>1</v>
      </c>
      <c r="AC19" s="1574">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649"/>
      <c r="Q20" s="1570" t="str">
        <f>B20</f>
        <v>自然及人文环境</v>
      </c>
      <c r="R20" s="1571" t="s">
        <v>8</v>
      </c>
      <c r="S20" s="1572">
        <f>F20</f>
        <v>100</v>
      </c>
      <c r="T20" s="1571" t="s">
        <v>8</v>
      </c>
      <c r="U20" s="1572">
        <f>H20</f>
        <v>100</v>
      </c>
      <c r="V20" s="1571" t="s">
        <v>8</v>
      </c>
      <c r="W20" s="1572">
        <f>J20</f>
        <v>100</v>
      </c>
      <c r="X20" s="1565"/>
      <c r="Y20" s="364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649"/>
      <c r="Q21" s="1570"/>
      <c r="R21" s="1571"/>
      <c r="S21" s="1572"/>
      <c r="T21" s="1571"/>
      <c r="U21" s="1572"/>
      <c r="V21" s="1571"/>
      <c r="W21" s="1572"/>
      <c r="X21" s="1565"/>
      <c r="Y21" s="3649"/>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649"/>
      <c r="Q22" s="1570" t="str">
        <f>B22</f>
        <v>楼层</v>
      </c>
      <c r="R22" s="1571" t="s">
        <v>8</v>
      </c>
      <c r="S22" s="1572">
        <f>F22</f>
        <v>100</v>
      </c>
      <c r="T22" s="1571" t="s">
        <v>8</v>
      </c>
      <c r="U22" s="1572">
        <f>H22</f>
        <v>100</v>
      </c>
      <c r="V22" s="1571" t="s">
        <v>8</v>
      </c>
      <c r="W22" s="1572">
        <f>J22</f>
        <v>100</v>
      </c>
      <c r="X22" s="1565"/>
      <c r="Y22" s="364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649"/>
      <c r="Q23" s="1570">
        <f>B23</f>
        <v>111</v>
      </c>
      <c r="R23" s="1571" t="s">
        <v>8</v>
      </c>
      <c r="S23" s="1572">
        <f>F23</f>
        <v>100</v>
      </c>
      <c r="T23" s="1571" t="s">
        <v>8</v>
      </c>
      <c r="U23" s="1572">
        <f>H23</f>
        <v>100</v>
      </c>
      <c r="V23" s="1571" t="s">
        <v>8</v>
      </c>
      <c r="W23" s="1572">
        <f>J23</f>
        <v>100</v>
      </c>
      <c r="X23" s="1565"/>
      <c r="Y23" s="364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649"/>
      <c r="Q24" s="1570">
        <f t="shared" ref="Q24:Q34" si="11">B24</f>
        <v>111</v>
      </c>
      <c r="R24" s="1571" t="s">
        <v>8</v>
      </c>
      <c r="S24" s="1572">
        <f>F24</f>
        <v>100</v>
      </c>
      <c r="T24" s="1571" t="s">
        <v>8</v>
      </c>
      <c r="U24" s="1572">
        <f>H24</f>
        <v>100</v>
      </c>
      <c r="V24" s="1571" t="s">
        <v>8</v>
      </c>
      <c r="W24" s="1572">
        <f>J24</f>
        <v>100</v>
      </c>
      <c r="X24" s="1565"/>
      <c r="Y24" s="3649"/>
      <c r="Z24" s="1573">
        <f>Q24</f>
        <v>111</v>
      </c>
      <c r="AA24" s="1574">
        <f t="shared" si="3"/>
        <v>1</v>
      </c>
      <c r="AB24" s="1574">
        <f t="shared" si="4"/>
        <v>1</v>
      </c>
      <c r="AC24" s="1574">
        <f t="shared" si="5"/>
        <v>1</v>
      </c>
    </row>
    <row r="25" spans="1:29" s="1217"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649"/>
      <c r="Q25" s="1148">
        <f t="shared" si="11"/>
        <v>111</v>
      </c>
      <c r="R25" s="1566" t="s">
        <v>8</v>
      </c>
      <c r="S25" s="1567">
        <f>F25</f>
        <v>100</v>
      </c>
      <c r="T25" s="1566" t="s">
        <v>8</v>
      </c>
      <c r="U25" s="1567">
        <f>H25</f>
        <v>100</v>
      </c>
      <c r="V25" s="1566" t="s">
        <v>8</v>
      </c>
      <c r="W25" s="1567">
        <f>J25</f>
        <v>100</v>
      </c>
      <c r="X25" s="1568"/>
      <c r="Y25" s="3649"/>
      <c r="Z25" s="1147">
        <f>Q25</f>
        <v>111</v>
      </c>
      <c r="AA25" s="1574">
        <f>D25/F25</f>
        <v>1</v>
      </c>
      <c r="AB25" s="1574">
        <f>D25/H25</f>
        <v>1</v>
      </c>
      <c r="AC25" s="1574">
        <f>D25/J25</f>
        <v>1</v>
      </c>
    </row>
    <row r="26" spans="1:29" ht="15">
      <c r="A26" s="2926"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65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651" t="s">
        <v>821</v>
      </c>
      <c r="Z26" s="1573" t="str">
        <f t="shared" ref="Z26:Z34" si="15">Q26</f>
        <v>公共部分装修</v>
      </c>
      <c r="AA26" s="1574">
        <f t="shared" si="3"/>
        <v>1</v>
      </c>
      <c r="AB26" s="1574">
        <f t="shared" si="4"/>
        <v>1</v>
      </c>
      <c r="AC26" s="1574">
        <f t="shared" si="5"/>
        <v>1</v>
      </c>
    </row>
    <row r="27" spans="1:29" s="1336"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651"/>
      <c r="Q27" s="1603" t="str">
        <f t="shared" si="11"/>
        <v>成新率</v>
      </c>
      <c r="R27" s="1575" t="s">
        <v>8</v>
      </c>
      <c r="S27" s="1576" t="e">
        <f t="shared" si="12"/>
        <v>#N/A</v>
      </c>
      <c r="T27" s="1575" t="s">
        <v>8</v>
      </c>
      <c r="U27" s="1576" t="e">
        <f t="shared" si="13"/>
        <v>#N/A</v>
      </c>
      <c r="V27" s="1575" t="s">
        <v>8</v>
      </c>
      <c r="W27" s="1576" t="e">
        <f t="shared" si="14"/>
        <v>#N/A</v>
      </c>
      <c r="X27" s="1577"/>
      <c r="Y27" s="3651"/>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651"/>
      <c r="Q28" s="1570" t="str">
        <f t="shared" si="11"/>
        <v>物业等级</v>
      </c>
      <c r="R28" s="1571" t="s">
        <v>8</v>
      </c>
      <c r="S28" s="1572">
        <f t="shared" si="12"/>
        <v>100</v>
      </c>
      <c r="T28" s="1571" t="s">
        <v>8</v>
      </c>
      <c r="U28" s="1572">
        <f t="shared" si="13"/>
        <v>100</v>
      </c>
      <c r="V28" s="1571" t="s">
        <v>8</v>
      </c>
      <c r="W28" s="1572">
        <f t="shared" si="14"/>
        <v>100</v>
      </c>
      <c r="X28" s="1565"/>
      <c r="Y28" s="3651"/>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651"/>
      <c r="Q29" s="1570" t="str">
        <f t="shared" si="11"/>
        <v>有无电梯</v>
      </c>
      <c r="R29" s="1571" t="s">
        <v>8</v>
      </c>
      <c r="S29" s="1572">
        <f t="shared" si="12"/>
        <v>100</v>
      </c>
      <c r="T29" s="1571" t="s">
        <v>8</v>
      </c>
      <c r="U29" s="1572">
        <f t="shared" si="13"/>
        <v>100</v>
      </c>
      <c r="V29" s="1571" t="s">
        <v>8</v>
      </c>
      <c r="W29" s="1572">
        <f t="shared" si="14"/>
        <v>100</v>
      </c>
      <c r="X29" s="1565"/>
      <c r="Y29" s="3651"/>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651"/>
      <c r="Q30" s="1570" t="str">
        <f t="shared" si="11"/>
        <v>建筑面积</v>
      </c>
      <c r="R30" s="1571" t="s">
        <v>8</v>
      </c>
      <c r="S30" s="1572" t="e">
        <f t="shared" si="12"/>
        <v>#N/A</v>
      </c>
      <c r="T30" s="1571" t="s">
        <v>8</v>
      </c>
      <c r="U30" s="1572" t="e">
        <f t="shared" si="13"/>
        <v>#N/A</v>
      </c>
      <c r="V30" s="1571" t="s">
        <v>8</v>
      </c>
      <c r="W30" s="1572" t="e">
        <f t="shared" si="14"/>
        <v>#N/A</v>
      </c>
      <c r="X30" s="1565"/>
      <c r="Y30" s="3651"/>
      <c r="Z30" s="1573" t="str">
        <f t="shared" si="15"/>
        <v>建筑面积</v>
      </c>
      <c r="AA30" s="1574" t="e">
        <f t="shared" si="3"/>
        <v>#N/A</v>
      </c>
      <c r="AB30" s="1574" t="e">
        <f t="shared" si="4"/>
        <v>#N/A</v>
      </c>
      <c r="AC30" s="1574" t="e">
        <f t="shared" si="5"/>
        <v>#N/A</v>
      </c>
    </row>
    <row r="31" spans="1:29" s="1217"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651"/>
      <c r="Q31" s="1148" t="str">
        <f t="shared" si="11"/>
        <v>是否封闭</v>
      </c>
      <c r="R31" s="1566" t="s">
        <v>8</v>
      </c>
      <c r="S31" s="1567">
        <f t="shared" si="12"/>
        <v>100</v>
      </c>
      <c r="T31" s="1566" t="s">
        <v>8</v>
      </c>
      <c r="U31" s="1567">
        <f t="shared" si="13"/>
        <v>100</v>
      </c>
      <c r="V31" s="1566" t="s">
        <v>8</v>
      </c>
      <c r="W31" s="1567">
        <f t="shared" si="14"/>
        <v>100</v>
      </c>
      <c r="X31" s="1568"/>
      <c r="Y31" s="3651"/>
      <c r="Z31" s="1147"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651" t="s">
        <v>550</v>
      </c>
      <c r="Q32" s="1570">
        <f t="shared" si="11"/>
        <v>111</v>
      </c>
      <c r="R32" s="1571" t="s">
        <v>8</v>
      </c>
      <c r="S32" s="1572">
        <f t="shared" si="12"/>
        <v>100</v>
      </c>
      <c r="T32" s="1571" t="s">
        <v>8</v>
      </c>
      <c r="U32" s="1572">
        <f t="shared" si="13"/>
        <v>100</v>
      </c>
      <c r="V32" s="1571" t="s">
        <v>8</v>
      </c>
      <c r="W32" s="1572">
        <f t="shared" si="14"/>
        <v>100</v>
      </c>
      <c r="X32" s="1565"/>
      <c r="Y32" s="3651"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651"/>
      <c r="Q33" s="1570">
        <f t="shared" si="11"/>
        <v>111</v>
      </c>
      <c r="R33" s="1571" t="s">
        <v>8</v>
      </c>
      <c r="S33" s="1572">
        <f t="shared" si="12"/>
        <v>100</v>
      </c>
      <c r="T33" s="1571" t="s">
        <v>8</v>
      </c>
      <c r="U33" s="1572">
        <f t="shared" si="13"/>
        <v>100</v>
      </c>
      <c r="V33" s="1571" t="s">
        <v>8</v>
      </c>
      <c r="W33" s="1572">
        <f t="shared" si="14"/>
        <v>100</v>
      </c>
      <c r="X33" s="1565"/>
      <c r="Y33" s="365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651"/>
      <c r="Q34" s="1570">
        <f t="shared" si="11"/>
        <v>111</v>
      </c>
      <c r="R34" s="1571" t="s">
        <v>8</v>
      </c>
      <c r="S34" s="1572">
        <f t="shared" si="12"/>
        <v>100</v>
      </c>
      <c r="T34" s="1571" t="s">
        <v>8</v>
      </c>
      <c r="U34" s="1572">
        <f t="shared" si="13"/>
        <v>100</v>
      </c>
      <c r="V34" s="1571" t="s">
        <v>8</v>
      </c>
      <c r="W34" s="1572">
        <f t="shared" si="14"/>
        <v>100</v>
      </c>
      <c r="X34" s="1565"/>
      <c r="Y34" s="3651"/>
      <c r="Z34" s="1573">
        <f t="shared" si="15"/>
        <v>111</v>
      </c>
      <c r="AA34" s="1574">
        <f t="shared" si="3"/>
        <v>1</v>
      </c>
      <c r="AB34" s="1574">
        <f t="shared" si="4"/>
        <v>1</v>
      </c>
      <c r="AC34" s="1574">
        <f t="shared" si="5"/>
        <v>1</v>
      </c>
    </row>
    <row r="35" spans="1:29" ht="15">
      <c r="A35" s="605" t="s">
        <v>736</v>
      </c>
      <c r="B35" s="885"/>
      <c r="C35" s="2648" t="s">
        <v>1</v>
      </c>
      <c r="D35" s="2649"/>
      <c r="E35" s="2650"/>
      <c r="F35" s="2651"/>
      <c r="G35" s="2652"/>
      <c r="H35" s="2653"/>
      <c r="I35" s="2650"/>
      <c r="J35" s="2653"/>
      <c r="K35" s="1609"/>
      <c r="L35" s="2143"/>
      <c r="M35" s="2144"/>
      <c r="N35" s="2133"/>
      <c r="O35" s="2144"/>
      <c r="P35" s="3614" t="str">
        <f>A35</f>
        <v>成交单价（元/平方米）</v>
      </c>
      <c r="Q35" s="3614"/>
      <c r="R35" s="3727">
        <f>E35</f>
        <v>0</v>
      </c>
      <c r="S35" s="3727"/>
      <c r="T35" s="3727">
        <f>G35</f>
        <v>0</v>
      </c>
      <c r="U35" s="3727"/>
      <c r="V35" s="3727">
        <f>I35</f>
        <v>0</v>
      </c>
      <c r="W35" s="3727"/>
      <c r="X35" s="1557"/>
      <c r="Y35" s="1579"/>
      <c r="Z35" s="1557"/>
      <c r="AA35" s="1557"/>
      <c r="AB35" s="1557"/>
      <c r="AC35" s="1557"/>
    </row>
    <row r="36" spans="1:29" ht="15.75" thickBot="1">
      <c r="A36" s="613" t="s">
        <v>2764</v>
      </c>
      <c r="B36" s="886"/>
      <c r="C36" s="2654" t="e">
        <f>R37</f>
        <v>#DIV/0!</v>
      </c>
      <c r="D36" s="2655"/>
      <c r="E36" s="2656" t="e">
        <f>R36</f>
        <v>#DIV/0!</v>
      </c>
      <c r="F36" s="2656"/>
      <c r="G36" s="2654" t="e">
        <f>T36</f>
        <v>#DIV/0!</v>
      </c>
      <c r="H36" s="2655"/>
      <c r="I36" s="2656" t="e">
        <f>V36</f>
        <v>#DIV/0!</v>
      </c>
      <c r="J36" s="2655"/>
      <c r="K36" s="1610"/>
      <c r="L36" s="2143"/>
      <c r="M36" s="2144"/>
      <c r="N36" s="2133"/>
      <c r="O36" s="2144"/>
      <c r="P36" s="3614" t="str">
        <f>A36</f>
        <v>比较价格（元/平方米）</v>
      </c>
      <c r="Q36" s="3614"/>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557"/>
      <c r="Y36" s="1557"/>
      <c r="Z36" s="1557"/>
      <c r="AA36" s="1557"/>
      <c r="AB36" s="1557"/>
      <c r="AC36" s="1557"/>
    </row>
    <row r="37" spans="1:29" ht="15.75" thickBot="1">
      <c r="A37" s="619" t="s">
        <v>2936</v>
      </c>
      <c r="B37" s="620"/>
      <c r="C37" s="2657" t="e">
        <f>R37</f>
        <v>#DIV/0!</v>
      </c>
      <c r="D37" s="2657"/>
      <c r="E37" s="2657"/>
      <c r="F37" s="2657"/>
      <c r="G37" s="2657"/>
      <c r="H37" s="2657"/>
      <c r="I37" s="2657"/>
      <c r="J37" s="2657"/>
      <c r="K37" s="1611"/>
      <c r="L37" s="2143"/>
      <c r="M37" s="2144"/>
      <c r="N37" s="2144"/>
      <c r="O37" s="2144"/>
      <c r="P37" s="3611" t="str">
        <f>A37</f>
        <v>估价对象XX用房的比较价格（楼面单价，元/平方米）</v>
      </c>
      <c r="Q37" s="3612"/>
      <c r="R37" s="3726" t="e">
        <f>IF(F1="售价",ROUND(AVERAGE(R36:V36),0),ROUND(AVERAGE(R36:V36),1))</f>
        <v>#DIV/0!</v>
      </c>
      <c r="S37" s="3726"/>
      <c r="T37" s="3726"/>
      <c r="U37" s="3726"/>
      <c r="V37" s="3726"/>
      <c r="W37" s="372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3" t="s">
        <v>529</v>
      </c>
      <c r="B46" s="644"/>
      <c r="C46" s="2821" t="str">
        <f>YEAR(C7)&amp;"-"&amp;MONTH(C7)</f>
        <v>2018-10</v>
      </c>
      <c r="D46" s="2823">
        <f>EDATE(C46,-1)</f>
        <v>43344</v>
      </c>
      <c r="E46" s="2823">
        <f t="shared" ref="E46:O46" si="16">EDATE(D46,-1)</f>
        <v>43313</v>
      </c>
      <c r="F46" s="2823">
        <f t="shared" si="16"/>
        <v>43282</v>
      </c>
      <c r="G46" s="2823">
        <f t="shared" si="16"/>
        <v>43252</v>
      </c>
      <c r="H46" s="2823">
        <f t="shared" si="16"/>
        <v>43221</v>
      </c>
      <c r="I46" s="2823">
        <f t="shared" si="16"/>
        <v>43191</v>
      </c>
      <c r="J46" s="2823">
        <f t="shared" si="16"/>
        <v>43160</v>
      </c>
      <c r="K46" s="2823">
        <f t="shared" si="16"/>
        <v>43132</v>
      </c>
      <c r="L46" s="2823">
        <f t="shared" si="16"/>
        <v>43101</v>
      </c>
      <c r="M46" s="2823">
        <f t="shared" si="16"/>
        <v>43070</v>
      </c>
      <c r="N46" s="2823">
        <f t="shared" si="16"/>
        <v>43040</v>
      </c>
      <c r="O46" s="2823">
        <f t="shared" si="16"/>
        <v>43009</v>
      </c>
      <c r="P46" s="2159"/>
      <c r="Q46" s="2160"/>
      <c r="R46" s="2160"/>
      <c r="S46" s="2160"/>
      <c r="T46" s="2160"/>
      <c r="U46" s="2160"/>
      <c r="V46" s="2160"/>
      <c r="W46" s="2160"/>
      <c r="X46" s="2160"/>
      <c r="Y46" s="2160"/>
      <c r="Z46" s="2160"/>
      <c r="AA46" s="2160"/>
      <c r="AB46" s="2160"/>
      <c r="AC46" s="2160"/>
    </row>
    <row r="47" spans="1:29" s="1217"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7" customFormat="1" ht="15.75" thickBot="1">
      <c r="A48" s="651" t="s">
        <v>575</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7" customFormat="1" ht="15">
      <c r="A49" s="657" t="s">
        <v>531</v>
      </c>
      <c r="B49" s="646"/>
      <c r="C49" s="658" t="s">
        <v>576</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577</v>
      </c>
      <c r="B51" s="663" t="s">
        <v>534</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2561</v>
      </c>
      <c r="C63" s="706" t="s">
        <v>579</v>
      </c>
      <c r="D63" s="706" t="s">
        <v>580</v>
      </c>
      <c r="E63" s="706" t="s">
        <v>581</v>
      </c>
      <c r="F63" s="706" t="s">
        <v>582</v>
      </c>
      <c r="G63" s="706" t="s">
        <v>583</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18" t="s">
        <v>2562</v>
      </c>
      <c r="C65" s="2619" t="s">
        <v>2563</v>
      </c>
      <c r="D65" s="2619" t="s">
        <v>2564</v>
      </c>
      <c r="E65" s="2619" t="s">
        <v>2565</v>
      </c>
      <c r="F65" s="2619" t="s">
        <v>2566</v>
      </c>
      <c r="G65" s="2619" t="s">
        <v>2567</v>
      </c>
      <c r="H65" s="672"/>
      <c r="I65" s="672"/>
      <c r="J65" s="672"/>
      <c r="K65" s="672"/>
      <c r="L65" s="672"/>
      <c r="M65" s="2622"/>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744</v>
      </c>
      <c r="C67" s="706" t="s">
        <v>579</v>
      </c>
      <c r="D67" s="706" t="s">
        <v>580</v>
      </c>
      <c r="E67" s="706" t="s">
        <v>581</v>
      </c>
      <c r="F67" s="706" t="s">
        <v>582</v>
      </c>
      <c r="G67" s="706" t="s">
        <v>583</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745</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551</v>
      </c>
      <c r="B77" s="663" t="s">
        <v>751</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817</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825</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6" customFormat="1" ht="15" thickTop="1">
      <c r="A89" s="726"/>
      <c r="B89" s="671" t="s">
        <v>827</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2" t="s">
        <v>2752</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4" t="s">
        <v>2753</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3" t="s">
        <v>2306</v>
      </c>
      <c r="C1" s="3741" t="s">
        <v>2307</v>
      </c>
      <c r="D1" s="3742"/>
      <c r="E1" s="3742"/>
      <c r="F1" s="3742"/>
      <c r="G1" s="3742"/>
      <c r="H1" s="3742"/>
      <c r="I1" s="3742"/>
      <c r="J1" s="3742"/>
      <c r="K1" s="3742"/>
      <c r="L1" s="3742"/>
      <c r="M1" s="3742"/>
      <c r="N1" s="3742"/>
      <c r="O1" s="3742"/>
      <c r="P1" s="3742"/>
      <c r="Q1" s="3742"/>
      <c r="R1" s="3742"/>
      <c r="S1" s="3743"/>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9"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1"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1"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9"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9"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9"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830</v>
      </c>
      <c r="B22" s="51">
        <f>SUM(B24:B10000)</f>
        <v>0</v>
      </c>
      <c r="C22" s="3738" t="s">
        <v>20</v>
      </c>
      <c r="D22" s="3739"/>
      <c r="E22" s="3739"/>
      <c r="F22" s="3739"/>
      <c r="G22" s="3739"/>
      <c r="H22" s="3739"/>
      <c r="I22" s="3739"/>
      <c r="J22" s="3739"/>
      <c r="K22" s="3739"/>
      <c r="L22" s="3739"/>
      <c r="M22" s="3739"/>
      <c r="N22" s="3739"/>
      <c r="O22" s="3739"/>
      <c r="P22" s="3739"/>
      <c r="Q22" s="3740"/>
      <c r="R22" s="488" t="e">
        <f>ROUND(S22*10000/B22,0)</f>
        <v>#DIV/0!</v>
      </c>
      <c r="S22" s="51">
        <f>SUM(S24:S10000)</f>
        <v>0</v>
      </c>
    </row>
    <row r="23" spans="1:45" s="161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2791</v>
      </c>
      <c r="C1" s="3023">
        <f>项目基本情况!D3</f>
        <v>43382</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2822</v>
      </c>
      <c r="C2" s="3024">
        <f>'数据-取费表'!B22</f>
        <v>1.5</v>
      </c>
      <c r="D2" s="3019" t="s">
        <v>2792</v>
      </c>
      <c r="E2" s="3022">
        <f ca="1">INDIRECT("I"&amp;$I$1)/100</f>
        <v>4.7500000000000001E-2</v>
      </c>
      <c r="G2" s="2959"/>
      <c r="H2" s="2959"/>
      <c r="I2" s="2959" t="s">
        <v>2793</v>
      </c>
      <c r="K2" s="2959"/>
      <c r="L2" s="2959"/>
      <c r="M2" s="2959"/>
      <c r="N2" s="2959" t="s">
        <v>2794</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2824</v>
      </c>
      <c r="C3" s="3021">
        <f>'数据-取费表'!B19</f>
        <v>0</v>
      </c>
      <c r="D3" s="3019" t="s">
        <v>2792</v>
      </c>
      <c r="E3" s="3022">
        <f ca="1">INDIRECT("J"&amp;$J$1)/100</f>
        <v>0</v>
      </c>
      <c r="G3" s="2961" t="s">
        <v>2795</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2823</v>
      </c>
      <c r="C4" s="3022">
        <f ca="1">N4/100</f>
        <v>1.4999999999999999E-2</v>
      </c>
      <c r="G4" s="2967" t="s">
        <v>2796</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2797</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2798</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2799</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2800</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2801</v>
      </c>
      <c r="C10" s="2986"/>
      <c r="D10" s="2986"/>
      <c r="E10" s="2986"/>
      <c r="F10" s="2986"/>
      <c r="G10" s="2986"/>
      <c r="H10" s="2986"/>
      <c r="I10" s="2960"/>
      <c r="J10" s="2960"/>
      <c r="K10" s="2986"/>
      <c r="L10" s="2987" t="s">
        <v>2802</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2803</v>
      </c>
      <c r="C11" s="2991" t="s">
        <v>2804</v>
      </c>
      <c r="D11" s="2992" t="s">
        <v>2805</v>
      </c>
      <c r="E11" s="2993"/>
      <c r="F11" s="2992" t="s">
        <v>2806</v>
      </c>
      <c r="G11" s="2994"/>
      <c r="H11" s="2993"/>
      <c r="I11" s="2992" t="s">
        <v>2807</v>
      </c>
      <c r="J11" s="2993"/>
      <c r="K11" s="2989"/>
      <c r="L11" s="2990" t="s">
        <v>2803</v>
      </c>
      <c r="M11" s="2991" t="s">
        <v>2804</v>
      </c>
      <c r="N11" s="2990" t="s">
        <v>2808</v>
      </c>
      <c r="O11" s="2992" t="s">
        <v>2809</v>
      </c>
      <c r="P11" s="2994"/>
      <c r="Q11" s="2994"/>
      <c r="R11" s="2994"/>
      <c r="S11" s="2994"/>
      <c r="T11" s="2993"/>
      <c r="U11" s="2992" t="s">
        <v>2810</v>
      </c>
      <c r="V11" s="2994"/>
      <c r="W11" s="2993"/>
      <c r="X11" s="2990" t="s">
        <v>2811</v>
      </c>
      <c r="Y11" s="2990" t="s">
        <v>2812</v>
      </c>
      <c r="Z11" s="2990" t="s">
        <v>2813</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2814</v>
      </c>
      <c r="E12" s="2999" t="s">
        <v>2815</v>
      </c>
      <c r="F12" s="2999" t="s">
        <v>2816</v>
      </c>
      <c r="G12" s="2999" t="s">
        <v>2817</v>
      </c>
      <c r="H12" s="2999" t="s">
        <v>2799</v>
      </c>
      <c r="I12" s="3000" t="s">
        <v>2818</v>
      </c>
      <c r="J12" s="3000" t="s">
        <v>2818</v>
      </c>
      <c r="K12" s="2996"/>
      <c r="L12" s="2997"/>
      <c r="M12" s="2998"/>
      <c r="N12" s="2997"/>
      <c r="O12" s="3000" t="s">
        <v>2819</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2820</v>
      </c>
      <c r="C13" s="3004">
        <v>42301</v>
      </c>
      <c r="D13" s="3005">
        <v>4.3499999999999996</v>
      </c>
      <c r="E13" s="3005">
        <v>4.3499999999999996</v>
      </c>
      <c r="F13" s="3005">
        <v>4.75</v>
      </c>
      <c r="G13" s="3005">
        <v>4.75</v>
      </c>
      <c r="H13" s="3005">
        <v>4.9000000000000004</v>
      </c>
      <c r="I13" s="3005">
        <v>2.75</v>
      </c>
      <c r="J13" s="3005">
        <v>3.25</v>
      </c>
      <c r="K13" s="3002"/>
      <c r="L13" s="3003" t="s">
        <v>2820</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2821</v>
      </c>
      <c r="Y42" s="3009" t="s">
        <v>2821</v>
      </c>
      <c r="Z42" s="3009" t="s">
        <v>2821</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2821</v>
      </c>
      <c r="Y43" s="3009" t="s">
        <v>2821</v>
      </c>
      <c r="Z43" s="3009" t="s">
        <v>2821</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2821</v>
      </c>
      <c r="Y44" s="3009" t="s">
        <v>2821</v>
      </c>
      <c r="Z44" s="3009" t="s">
        <v>2821</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2821</v>
      </c>
      <c r="Y45" s="3009" t="s">
        <v>2821</v>
      </c>
      <c r="Z45" s="3009" t="s">
        <v>2821</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2821</v>
      </c>
      <c r="Y46" s="3009" t="s">
        <v>2821</v>
      </c>
      <c r="Z46" s="3009" t="s">
        <v>2821</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2821</v>
      </c>
      <c r="Y47" s="3009" t="s">
        <v>2821</v>
      </c>
      <c r="Z47" s="3009" t="s">
        <v>2821</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2821</v>
      </c>
      <c r="Y48" s="3009" t="s">
        <v>2821</v>
      </c>
      <c r="Z48" s="3009" t="s">
        <v>2821</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2821</v>
      </c>
      <c r="Y49" s="3009" t="s">
        <v>2821</v>
      </c>
      <c r="Z49" s="3009" t="s">
        <v>2821</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2821</v>
      </c>
      <c r="Y50" s="3009" t="s">
        <v>2821</v>
      </c>
      <c r="Z50" s="3009" t="s">
        <v>2821</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2821</v>
      </c>
      <c r="V51" s="3009" t="s">
        <v>2821</v>
      </c>
      <c r="W51" s="3009" t="s">
        <v>2821</v>
      </c>
      <c r="X51" s="3009" t="s">
        <v>2821</v>
      </c>
      <c r="Y51" s="3009" t="s">
        <v>2821</v>
      </c>
      <c r="Z51" s="3009" t="s">
        <v>2821</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2821</v>
      </c>
      <c r="J55" s="3009" t="s">
        <v>2821</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64" workbookViewId="0">
      <selection activeCell="N47" sqref="N47"/>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opLeftCell="A7" workbookViewId="0">
      <selection activeCell="F37" sqref="F37"/>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N25" sqref="N25"/>
    </sheetView>
  </sheetViews>
  <sheetFormatPr defaultRowHeight="13.5"/>
  <sheetData>
    <row r="1" spans="1:1">
      <c r="A1" t="s">
        <v>3093</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5" t="s">
        <v>2041</v>
      </c>
      <c r="B1" s="3335"/>
      <c r="C1" s="3335"/>
      <c r="D1" s="3335"/>
      <c r="E1" s="3335"/>
      <c r="F1" s="3335"/>
      <c r="G1" s="3335"/>
      <c r="H1" s="3335"/>
      <c r="I1" s="3335"/>
      <c r="J1" s="3335"/>
      <c r="K1" s="3335"/>
      <c r="L1" s="3335"/>
      <c r="M1" s="3335"/>
      <c r="N1" s="3335"/>
      <c r="O1" s="3335"/>
      <c r="P1" s="3335"/>
      <c r="Q1" s="3335"/>
      <c r="R1" s="3335"/>
    </row>
    <row r="2" spans="1:18">
      <c r="A2" s="1806" t="s">
        <v>2043</v>
      </c>
      <c r="B2" s="1806"/>
      <c r="C2" s="1806"/>
      <c r="D2" s="1806"/>
      <c r="E2" s="1806"/>
      <c r="F2" s="1806"/>
      <c r="G2" s="1806"/>
      <c r="H2" s="1806"/>
      <c r="I2" s="1807"/>
      <c r="J2" s="1807"/>
      <c r="K2" s="1808" t="str">
        <f>"估价期日："&amp;TEXT(项目基本情况!D3,"yyyy年m月d日;;")</f>
        <v>估价期日：2018年10月9日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336" t="s">
        <v>2032</v>
      </c>
      <c r="B3" s="3336" t="s">
        <v>2735</v>
      </c>
      <c r="C3" s="3337" t="s">
        <v>2033</v>
      </c>
      <c r="D3" s="3336" t="s">
        <v>2739</v>
      </c>
      <c r="E3" s="3339" t="s">
        <v>2034</v>
      </c>
      <c r="F3" s="3339"/>
      <c r="G3" s="3339"/>
      <c r="H3" s="3339" t="s">
        <v>2035</v>
      </c>
      <c r="I3" s="3339"/>
      <c r="J3" s="3339"/>
      <c r="K3" s="3337" t="s">
        <v>2036</v>
      </c>
      <c r="L3" s="3337" t="s">
        <v>2037</v>
      </c>
      <c r="M3" s="3336" t="s">
        <v>2736</v>
      </c>
      <c r="N3" s="3338" t="str">
        <f>"（分摊）"&amp;项目基本情况!B16&amp;"国有建设用地使用权面积/㎡"</f>
        <v>（分摊）出让国有建设用地使用权面积/㎡</v>
      </c>
      <c r="O3" s="3336" t="s">
        <v>2066</v>
      </c>
      <c r="P3" s="3337" t="s">
        <v>2046</v>
      </c>
      <c r="Q3" s="3337" t="s">
        <v>2067</v>
      </c>
      <c r="R3" s="3337" t="s">
        <v>2038</v>
      </c>
    </row>
    <row r="4" spans="1:18" ht="36.75" customHeight="1">
      <c r="A4" s="3336"/>
      <c r="B4" s="3336"/>
      <c r="C4" s="3337"/>
      <c r="D4" s="3336"/>
      <c r="E4" s="2670" t="s">
        <v>2045</v>
      </c>
      <c r="F4" s="2670" t="s">
        <v>2748</v>
      </c>
      <c r="G4" s="2670" t="s">
        <v>2039</v>
      </c>
      <c r="H4" s="2670" t="s">
        <v>2040</v>
      </c>
      <c r="I4" s="2670" t="s">
        <v>2749</v>
      </c>
      <c r="J4" s="2670" t="s">
        <v>2039</v>
      </c>
      <c r="K4" s="3337"/>
      <c r="L4" s="3337"/>
      <c r="M4" s="3336"/>
      <c r="N4" s="3338"/>
      <c r="O4" s="3336"/>
      <c r="P4" s="3337"/>
      <c r="Q4" s="3337"/>
      <c r="R4" s="3337"/>
    </row>
    <row r="5" spans="1:18" ht="135" customHeight="1">
      <c r="A5" s="1942" t="s">
        <v>2659</v>
      </c>
      <c r="B5" s="2886" t="s">
        <v>2657</v>
      </c>
      <c r="C5" s="2669">
        <v>22</v>
      </c>
      <c r="D5" s="2668" t="s">
        <v>2658</v>
      </c>
      <c r="E5" s="1809">
        <f>项目基本情况!B12</f>
        <v>0</v>
      </c>
      <c r="F5" s="2668">
        <v>258</v>
      </c>
      <c r="G5" s="1809">
        <f>项目基本情况!B13</f>
        <v>0</v>
      </c>
      <c r="H5" s="2668">
        <v>1.5</v>
      </c>
      <c r="I5" s="2668">
        <v>1.5</v>
      </c>
      <c r="J5" s="2668">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2079.0700000000002</v>
      </c>
      <c r="O5" s="1809">
        <f>项目基本情况!C21</f>
        <v>10000</v>
      </c>
      <c r="P5" s="1809">
        <f ca="1">结果表!E42</f>
        <v>193009</v>
      </c>
      <c r="Q5" s="1809">
        <f ca="1">结果表!D42</f>
        <v>40128</v>
      </c>
      <c r="R5" s="1810">
        <f ca="1">结果表!C42</f>
        <v>40128</v>
      </c>
    </row>
    <row r="6" spans="1:18">
      <c r="A6" s="3340" t="str">
        <f>IF(项目基本情况!B9="市场价格","——","抵押价格")</f>
        <v>——</v>
      </c>
      <c r="B6" s="3341"/>
      <c r="C6" s="3341"/>
      <c r="D6" s="3341"/>
      <c r="E6" s="3341"/>
      <c r="F6" s="3341"/>
      <c r="G6" s="3341"/>
      <c r="H6" s="3341"/>
      <c r="I6" s="3341"/>
      <c r="J6" s="3341"/>
      <c r="K6" s="3341"/>
      <c r="L6" s="3341"/>
      <c r="M6" s="3341"/>
      <c r="N6" s="3341"/>
      <c r="O6" s="3341"/>
      <c r="P6" s="3341"/>
      <c r="Q6" s="3342"/>
      <c r="R6" s="1811" t="str">
        <f>结果表!O39</f>
        <v>——</v>
      </c>
    </row>
    <row r="7" spans="1:18">
      <c r="A7" s="3340" t="str">
        <f>IF(项目基本情况!B9="市场价格","——",IF(项目基本情况!E8="已注销及未注销","抵押担保权已注销时的抵押价格","——"))</f>
        <v>——</v>
      </c>
      <c r="B7" s="3341"/>
      <c r="C7" s="3341"/>
      <c r="D7" s="3341"/>
      <c r="E7" s="3341"/>
      <c r="F7" s="3341"/>
      <c r="G7" s="3341"/>
      <c r="H7" s="3341"/>
      <c r="I7" s="3341"/>
      <c r="J7" s="3341"/>
      <c r="K7" s="3341"/>
      <c r="L7" s="3341"/>
      <c r="M7" s="3341"/>
      <c r="N7" s="3341"/>
      <c r="O7" s="3341"/>
      <c r="P7" s="3341"/>
      <c r="Q7" s="3342"/>
      <c r="R7" s="1811" t="str">
        <f>结果表!O40</f>
        <v>——</v>
      </c>
    </row>
    <row r="8" spans="1:18">
      <c r="A8" s="3340" t="str">
        <f>IF(项目基本情况!B9="市场价格","——",项目基本情况!E9)</f>
        <v>——</v>
      </c>
      <c r="B8" s="3341"/>
      <c r="C8" s="3341"/>
      <c r="D8" s="3341"/>
      <c r="E8" s="3341"/>
      <c r="F8" s="3341"/>
      <c r="G8" s="3341"/>
      <c r="H8" s="3341"/>
      <c r="I8" s="3341"/>
      <c r="J8" s="3341"/>
      <c r="K8" s="3341"/>
      <c r="L8" s="3341"/>
      <c r="M8" s="3341"/>
      <c r="N8" s="3341"/>
      <c r="O8" s="3341"/>
      <c r="P8" s="3341"/>
      <c r="Q8" s="3342"/>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344" t="s">
        <v>2068</v>
      </c>
      <c r="B1" s="3344"/>
      <c r="C1" s="3344"/>
      <c r="D1" s="3344"/>
    </row>
    <row r="2" spans="1:4" ht="47.25" customHeight="1">
      <c r="A2" s="3345" t="str">
        <f>"1.权利限制："&amp;项目基本情况!L24&amp;"未设定租赁等其他他项权利。"</f>
        <v>1.权利限制：根据估价对象《不动产权证书》原件、《国有土地使用权》复印件，截至估价期日，估价对象抵押权未见登记。未设定租赁等其他他项权利。</v>
      </c>
      <c r="B2" s="3345"/>
      <c r="C2" s="3345"/>
      <c r="D2" s="3345"/>
    </row>
    <row r="3" spans="1:4" ht="48" customHeight="1">
      <c r="A3" s="33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4"/>
      <c r="C3" s="3344"/>
      <c r="D3" s="3344"/>
    </row>
    <row r="4" spans="1:4" ht="36.75" customHeight="1">
      <c r="A4" s="3344" t="str">
        <f>"3.估价规划限制条件：详见"&amp;项目基本情况!E21&amp;"。"</f>
        <v>3.估价规划限制条件：详见《建设工程规划许可证》[]、《出让合同》[]。</v>
      </c>
      <c r="B4" s="3344"/>
      <c r="C4" s="3344"/>
      <c r="D4" s="3344"/>
    </row>
    <row r="5" spans="1:4">
      <c r="A5" s="3343" t="s">
        <v>2069</v>
      </c>
      <c r="B5" s="3343"/>
      <c r="C5" s="3343"/>
      <c r="D5" s="3343"/>
    </row>
    <row r="6" spans="1:4">
      <c r="A6" s="3344" t="s">
        <v>2047</v>
      </c>
      <c r="B6" s="3344"/>
      <c r="C6" s="3344"/>
      <c r="D6" s="3344"/>
    </row>
    <row r="7" spans="1:4" ht="33" customHeight="1">
      <c r="A7" s="3344" t="s">
        <v>2579</v>
      </c>
      <c r="B7" s="3344"/>
      <c r="C7" s="3344"/>
      <c r="D7" s="3344"/>
    </row>
    <row r="8" spans="1:4" ht="32.25" customHeight="1">
      <c r="A8" s="33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4"/>
      <c r="C8" s="3344"/>
      <c r="D8" s="3344"/>
    </row>
    <row r="9" spans="1:4" ht="33.75" customHeight="1">
      <c r="A9" s="3344" t="str">
        <f>IF(项目基本情况!B8="抵押","3.抵押双方在办理抵押登记手续时，应使用本公司出具的正式《土地估价报告》，特提请报告使用者注意。","——")</f>
        <v>——</v>
      </c>
      <c r="B9" s="3344"/>
      <c r="C9" s="3344"/>
      <c r="D9" s="3344"/>
    </row>
    <row r="10" spans="1:4">
      <c r="A10" s="3344" t="str">
        <f>IF(项目基本情况!B8="抵押","4.估价师所知悉的法定优先受偿款情况为：","——")</f>
        <v>——</v>
      </c>
      <c r="B10" s="3344"/>
      <c r="C10" s="3344"/>
      <c r="D10" s="3344"/>
    </row>
    <row r="11" spans="1:4" ht="37.5" customHeight="1">
      <c r="A11" s="3346" t="str">
        <f>IF(项目基本情况!B8="抵押","（1）"&amp;CONCATENATE(项目基本情况!L24,项目基本情况!L25,项目基本情况!L26),"——")</f>
        <v>——</v>
      </c>
      <c r="B11" s="3346"/>
      <c r="C11" s="3346"/>
      <c r="D11" s="3346"/>
    </row>
    <row r="12" spans="1:4" ht="168" customHeight="1">
      <c r="A12" s="3343" t="s">
        <v>2071</v>
      </c>
      <c r="B12" s="3343"/>
      <c r="C12" s="3343"/>
      <c r="D12" s="3343"/>
    </row>
    <row r="13" spans="1:4">
      <c r="A13" s="3347" t="s">
        <v>2750</v>
      </c>
      <c r="B13" s="3347"/>
      <c r="C13" s="3347"/>
      <c r="D13" s="3347"/>
    </row>
    <row r="14" spans="1:4">
      <c r="A14" s="3346" t="str">
        <f>IF(项目基本情况!B8="抵押","综上，"&amp;结果表!K47,"——")</f>
        <v>——</v>
      </c>
      <c r="B14" s="3346"/>
      <c r="C14" s="3346"/>
      <c r="D14" s="3346"/>
    </row>
    <row r="15" spans="1:4" ht="58.5" customHeight="1">
      <c r="A15" s="33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4"/>
      <c r="C15" s="3344"/>
      <c r="D15" s="3344"/>
    </row>
    <row r="16" spans="1:4" ht="70.5" customHeight="1">
      <c r="A16" s="33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4"/>
      <c r="C16" s="3344"/>
      <c r="D16" s="3344"/>
    </row>
    <row r="17" spans="1:4">
      <c r="A17" s="3344" t="s">
        <v>2706</v>
      </c>
      <c r="B17" s="3344"/>
      <c r="C17" s="3344"/>
      <c r="D17" s="3344"/>
    </row>
    <row r="18" spans="1:4">
      <c r="A18" s="3344" t="s">
        <v>2698</v>
      </c>
      <c r="B18" s="3344"/>
      <c r="C18" s="3344"/>
      <c r="D18" s="3344"/>
    </row>
    <row r="19" spans="1:4">
      <c r="A19" s="2887" t="s">
        <v>2699</v>
      </c>
      <c r="B19" s="2887" t="s">
        <v>2700</v>
      </c>
      <c r="C19" s="2887" t="s">
        <v>2701</v>
      </c>
      <c r="D19" s="2887" t="s">
        <v>2702</v>
      </c>
    </row>
    <row r="20" spans="1:4">
      <c r="A20" s="2887" t="str">
        <f>项目基本情况!B4</f>
        <v>陈颖</v>
      </c>
      <c r="B20" s="2887">
        <f ca="1">项目基本情况!C4</f>
        <v>2004110096</v>
      </c>
      <c r="C20" s="2889"/>
      <c r="D20" s="1799" t="s">
        <v>2707</v>
      </c>
    </row>
    <row r="21" spans="1:4">
      <c r="A21" s="2887" t="str">
        <f>项目基本情况!D4</f>
        <v>杨红英</v>
      </c>
      <c r="B21" s="2887">
        <f>项目基本情况!E4</f>
        <v>2004110128</v>
      </c>
      <c r="C21" s="2889"/>
      <c r="D21" s="1799" t="s">
        <v>2708</v>
      </c>
    </row>
    <row r="23" spans="1:4">
      <c r="A23" s="3344" t="s">
        <v>2703</v>
      </c>
      <c r="B23" s="3344"/>
      <c r="C23" s="3344"/>
      <c r="D23" s="3344"/>
    </row>
    <row r="24" spans="1:4">
      <c r="A24" s="2887" t="s">
        <v>2699</v>
      </c>
      <c r="B24" s="2887" t="s">
        <v>2704</v>
      </c>
      <c r="C24" s="2887" t="s">
        <v>2701</v>
      </c>
      <c r="D24" s="2887" t="s">
        <v>2702</v>
      </c>
    </row>
    <row r="25" spans="1:4">
      <c r="A25" s="2890" t="s">
        <v>2705</v>
      </c>
      <c r="B25" s="2887" t="s">
        <v>952</v>
      </c>
      <c r="C25" s="2889"/>
      <c r="D25" s="1799" t="s">
        <v>2708</v>
      </c>
    </row>
    <row r="29" spans="1:4">
      <c r="D29" s="2888" t="s">
        <v>2042</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355" t="s">
        <v>53</v>
      </c>
      <c r="B15" s="3356" t="s">
        <v>846</v>
      </c>
      <c r="C15" s="3352"/>
    </row>
    <row r="16" spans="1:7" ht="14.25">
      <c r="A16" s="3355"/>
      <c r="B16" s="3353" t="s">
        <v>54</v>
      </c>
      <c r="C16" s="1169" t="s">
        <v>53</v>
      </c>
    </row>
    <row r="17" spans="1:3" ht="14.25">
      <c r="A17" s="3355"/>
      <c r="B17" s="3353"/>
      <c r="C17" s="1169" t="s">
        <v>55</v>
      </c>
    </row>
    <row r="18" spans="1:3" ht="14.25">
      <c r="A18" s="3355"/>
      <c r="B18" s="3353"/>
      <c r="C18" s="1169" t="s">
        <v>56</v>
      </c>
    </row>
    <row r="19" spans="1:3" ht="14.25">
      <c r="A19" s="3355"/>
      <c r="B19" s="3351" t="s">
        <v>57</v>
      </c>
      <c r="C19" s="3352"/>
    </row>
    <row r="20" spans="1:3" ht="14.25">
      <c r="A20" s="1170" t="s">
        <v>58</v>
      </c>
      <c r="B20" s="1171"/>
      <c r="C20" s="1172"/>
    </row>
    <row r="21" spans="1:3" ht="14.25">
      <c r="A21" s="3354" t="s">
        <v>59</v>
      </c>
      <c r="B21" s="3351" t="s">
        <v>60</v>
      </c>
      <c r="C21" s="3352"/>
    </row>
    <row r="22" spans="1:3" ht="14.25">
      <c r="A22" s="3354"/>
      <c r="B22" s="3351" t="s">
        <v>61</v>
      </c>
      <c r="C22" s="3352"/>
    </row>
    <row r="23" spans="1:3" ht="14.25">
      <c r="A23" s="3354"/>
      <c r="B23" s="3351" t="s">
        <v>62</v>
      </c>
      <c r="C23" s="3352"/>
    </row>
    <row r="24" spans="1:3" ht="14.25">
      <c r="A24" s="3354"/>
      <c r="B24" s="3357" t="s">
        <v>63</v>
      </c>
      <c r="C24" s="1173" t="s">
        <v>837</v>
      </c>
    </row>
    <row r="25" spans="1:3" ht="14.25">
      <c r="A25" s="3354"/>
      <c r="B25" s="3358"/>
      <c r="C25" s="1173" t="s">
        <v>838</v>
      </c>
    </row>
    <row r="26" spans="1:3" ht="14.25">
      <c r="A26" s="3354"/>
      <c r="B26" s="3358"/>
      <c r="C26" s="1173" t="s">
        <v>839</v>
      </c>
    </row>
    <row r="27" spans="1:3" ht="14.25">
      <c r="A27" s="3354"/>
      <c r="B27" s="3358"/>
      <c r="C27" s="1173" t="s">
        <v>840</v>
      </c>
    </row>
    <row r="28" spans="1:3" ht="14.25">
      <c r="A28" s="3354"/>
      <c r="B28" s="3358"/>
      <c r="C28" s="1173" t="s">
        <v>841</v>
      </c>
    </row>
    <row r="29" spans="1:3" ht="14.25">
      <c r="A29" s="3354"/>
      <c r="B29" s="3358"/>
      <c r="C29" s="1173" t="s">
        <v>842</v>
      </c>
    </row>
    <row r="30" spans="1:3" ht="14.25">
      <c r="A30" s="3354"/>
      <c r="B30" s="3358"/>
      <c r="C30" s="1173" t="s">
        <v>843</v>
      </c>
    </row>
    <row r="31" spans="1:3" ht="14.25">
      <c r="A31" s="3354"/>
      <c r="B31" s="3358"/>
      <c r="C31" s="1173" t="s">
        <v>844</v>
      </c>
    </row>
    <row r="32" spans="1:3" ht="14.25">
      <c r="A32" s="3354"/>
      <c r="B32" s="3358"/>
      <c r="C32" s="1173" t="s">
        <v>1647</v>
      </c>
    </row>
    <row r="33" spans="1:3" ht="14.25">
      <c r="A33" s="3354"/>
      <c r="B33" s="3348" t="s">
        <v>1653</v>
      </c>
      <c r="C33" s="1173" t="s">
        <v>1648</v>
      </c>
    </row>
    <row r="34" spans="1:3" ht="14.25">
      <c r="A34" s="3354"/>
      <c r="B34" s="3349"/>
      <c r="C34" s="1178" t="s">
        <v>1649</v>
      </c>
    </row>
    <row r="35" spans="1:3" ht="14.25">
      <c r="A35" s="3354"/>
      <c r="B35" s="3349"/>
      <c r="C35" s="1179" t="s">
        <v>1650</v>
      </c>
    </row>
    <row r="36" spans="1:3" ht="14.25">
      <c r="A36" s="3354"/>
      <c r="B36" s="3349"/>
      <c r="C36" s="1179" t="s">
        <v>1651</v>
      </c>
    </row>
    <row r="37" spans="1:3" ht="14.25">
      <c r="A37" s="3354"/>
      <c r="B37" s="3350"/>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6" sqref="E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43406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5">
        <v>43849</v>
      </c>
      <c r="D4" s="2342" t="s">
        <v>1915</v>
      </c>
      <c r="E4" s="2342">
        <f ca="1">IF(F4&lt;B2,"已过期",96010014)</f>
        <v>96010014</v>
      </c>
      <c r="F4" s="3026">
        <v>47118</v>
      </c>
    </row>
    <row r="5" spans="1:6" ht="20.25" customHeight="1">
      <c r="A5" s="2342" t="s">
        <v>1916</v>
      </c>
      <c r="B5" s="2342">
        <f ca="1">IF(C5&lt;B2,"已过期",1119970074)</f>
        <v>1119970074</v>
      </c>
      <c r="C5" s="3025">
        <v>43849</v>
      </c>
      <c r="D5" s="2342" t="s">
        <v>1916</v>
      </c>
      <c r="E5" s="2342">
        <f ca="1">IF(F5&lt;B2,"已过期",2002110027)</f>
        <v>2002110027</v>
      </c>
      <c r="F5" s="3026">
        <v>46752</v>
      </c>
    </row>
    <row r="6" spans="1:6" ht="20.25" customHeight="1">
      <c r="A6" s="2342" t="s">
        <v>1917</v>
      </c>
      <c r="B6" s="2342">
        <f ca="1">IF(C6&lt;B2,"已过期",1119970111)</f>
        <v>1119970111</v>
      </c>
      <c r="C6" s="3025">
        <v>43849</v>
      </c>
      <c r="D6" s="2342" t="s">
        <v>1917</v>
      </c>
      <c r="E6" s="2342">
        <f ca="1">IF(F6&lt;B2,"已过期",94010078)</f>
        <v>94010078</v>
      </c>
      <c r="F6" s="3026">
        <v>46387</v>
      </c>
    </row>
    <row r="7" spans="1:6" ht="20.25" customHeight="1">
      <c r="A7" s="2342" t="s">
        <v>1918</v>
      </c>
      <c r="B7" s="2342" t="str">
        <f ca="1">IF(C7&lt;B2,"已过期",1120050019)</f>
        <v>已过期</v>
      </c>
      <c r="C7" s="3025">
        <v>43359</v>
      </c>
      <c r="D7" s="2342" t="s">
        <v>1918</v>
      </c>
      <c r="E7" s="2342">
        <f ca="1">IF(F7&lt;B2,"已过期",2002110030)</f>
        <v>2002110030</v>
      </c>
      <c r="F7" s="3026">
        <v>46387</v>
      </c>
    </row>
    <row r="8" spans="1:6" ht="20.25" customHeight="1">
      <c r="A8" s="2342" t="s">
        <v>1919</v>
      </c>
      <c r="B8" s="2342">
        <f ca="1">IF(C8&lt;B2,"已过期",1120000080)</f>
        <v>1120000080</v>
      </c>
      <c r="C8" s="3025">
        <v>43849</v>
      </c>
      <c r="D8" s="2342" t="s">
        <v>1919</v>
      </c>
      <c r="E8" s="2342">
        <f ca="1">IF(F8&lt;B2,"已过期",2000110082)</f>
        <v>2000110082</v>
      </c>
      <c r="F8" s="3026">
        <v>46387</v>
      </c>
    </row>
    <row r="9" spans="1:6" ht="20.25" customHeight="1">
      <c r="A9" s="2342" t="s">
        <v>1920</v>
      </c>
      <c r="B9" s="2342">
        <f ca="1">IF(C9&lt;B2,"已过期",1419970001)</f>
        <v>1419970001</v>
      </c>
      <c r="C9" s="3025">
        <v>43867</v>
      </c>
      <c r="D9" s="2342" t="s">
        <v>1920</v>
      </c>
      <c r="E9" s="2342">
        <f ca="1">IF(F9&lt;B2,"已过期",2002110125)</f>
        <v>2002110125</v>
      </c>
      <c r="F9" s="3026">
        <v>47118</v>
      </c>
    </row>
    <row r="10" spans="1:6" ht="20.25" customHeight="1">
      <c r="A10" s="2342" t="s">
        <v>1921</v>
      </c>
      <c r="B10" s="2342">
        <f ca="1">IF(C10&lt;B2,"已过期",1120060040)</f>
        <v>1120060040</v>
      </c>
      <c r="C10" s="3025">
        <v>43483</v>
      </c>
      <c r="D10" s="2342" t="s">
        <v>1921</v>
      </c>
      <c r="E10" s="2342">
        <f ca="1">IF(F10&lt;B2,"已过期",2004110096)</f>
        <v>2004110096</v>
      </c>
      <c r="F10" s="3026">
        <v>47118</v>
      </c>
    </row>
    <row r="11" spans="1:6" ht="20.25" customHeight="1">
      <c r="A11" s="2342" t="s">
        <v>1922</v>
      </c>
      <c r="B11" s="2342">
        <f ca="1">IF(C11&lt;B2,"已过期",1120100036)</f>
        <v>1120100036</v>
      </c>
      <c r="C11" s="3025">
        <v>43622</v>
      </c>
      <c r="D11" s="2342" t="s">
        <v>1922</v>
      </c>
      <c r="E11" s="2342">
        <f ca="1">IF(F11&lt;B2,"已过期",2010110070)</f>
        <v>2010110070</v>
      </c>
      <c r="F11" s="3026">
        <v>47907</v>
      </c>
    </row>
    <row r="12" spans="1:6" ht="20.25" customHeight="1">
      <c r="A12" s="2342" t="s">
        <v>2977</v>
      </c>
      <c r="B12" s="2342">
        <v>1120110054</v>
      </c>
      <c r="C12" s="3025">
        <v>43937</v>
      </c>
      <c r="D12" s="2342" t="s">
        <v>2977</v>
      </c>
      <c r="E12" s="2342">
        <v>2008110060</v>
      </c>
      <c r="F12" s="3026">
        <v>47177</v>
      </c>
    </row>
    <row r="13" spans="1:6" ht="20.25" customHeight="1">
      <c r="A13" s="2342" t="s">
        <v>1923</v>
      </c>
      <c r="B13" s="2342">
        <f ca="1">IF(C13&lt;B2,"已过期",1120070131)</f>
        <v>1120070131</v>
      </c>
      <c r="C13" s="3025">
        <v>43814</v>
      </c>
      <c r="D13" s="2342" t="s">
        <v>1923</v>
      </c>
      <c r="E13" s="2342">
        <v>2014110011</v>
      </c>
      <c r="F13" s="3026">
        <v>49302</v>
      </c>
    </row>
    <row r="14" spans="1:6" ht="20.25" customHeight="1">
      <c r="A14" s="2342" t="s">
        <v>1924</v>
      </c>
      <c r="B14" s="2342">
        <f ca="1">IF(C14&lt;B2,"已过期",1120130020)</f>
        <v>1120130020</v>
      </c>
      <c r="C14" s="3025">
        <v>43622</v>
      </c>
      <c r="D14" s="2342"/>
      <c r="E14" s="2342"/>
      <c r="F14" s="2342"/>
    </row>
    <row r="15" spans="1:6" ht="20.25" customHeight="1">
      <c r="A15" s="2342" t="s">
        <v>2578</v>
      </c>
      <c r="B15" s="2342">
        <v>1120070085</v>
      </c>
      <c r="C15" s="3025">
        <v>43814</v>
      </c>
      <c r="D15" s="2342" t="s">
        <v>2578</v>
      </c>
      <c r="E15" s="2342">
        <v>2004110128</v>
      </c>
      <c r="F15" s="3026">
        <v>47118</v>
      </c>
    </row>
    <row r="16" spans="1:6" ht="20.25" customHeight="1">
      <c r="A16" s="2342" t="s">
        <v>1925</v>
      </c>
      <c r="B16" s="2342">
        <f ca="1">IF(C16&lt;B2,"已过期",1120140022)</f>
        <v>1120140022</v>
      </c>
      <c r="C16" s="3025">
        <v>44029</v>
      </c>
      <c r="D16" s="2342" t="s">
        <v>1925</v>
      </c>
      <c r="E16" s="2342">
        <f ca="1">IF(F16&lt;B2,"已过期",2008110059)</f>
        <v>2008110059</v>
      </c>
      <c r="F16" s="3026">
        <v>47177</v>
      </c>
    </row>
    <row r="17" spans="1:7" ht="20.25" customHeight="1">
      <c r="A17" s="2342"/>
      <c r="B17" s="2342"/>
      <c r="C17" s="3025"/>
      <c r="D17" s="2342"/>
      <c r="E17" s="2342"/>
      <c r="F17" s="3026"/>
    </row>
    <row r="18" spans="1:7" ht="20.25" customHeight="1">
      <c r="A18" s="2342"/>
      <c r="B18" s="2342"/>
      <c r="C18" s="3025"/>
      <c r="D18" s="2342"/>
      <c r="E18" s="2342"/>
      <c r="F18" s="3026"/>
    </row>
    <row r="19" spans="1:7" ht="20.25" customHeight="1">
      <c r="A19" s="2342"/>
      <c r="B19" s="2342"/>
      <c r="C19" s="3025"/>
      <c r="D19" s="2342"/>
      <c r="E19" s="2342"/>
      <c r="F19" s="2342"/>
    </row>
    <row r="20" spans="1:7" ht="20.25" customHeight="1">
      <c r="A20" s="2342"/>
      <c r="B20" s="2342"/>
      <c r="C20" s="3025"/>
      <c r="D20" s="2342"/>
      <c r="E20" s="2342"/>
      <c r="F20" s="2342"/>
    </row>
    <row r="21" spans="1:7" ht="20.25" customHeight="1">
      <c r="A21" s="2342"/>
      <c r="B21" s="2342"/>
      <c r="C21" s="3025"/>
      <c r="D21" s="2342" t="s">
        <v>1926</v>
      </c>
      <c r="E21" s="2342">
        <f ca="1">IF(F21&lt;B2,"已过期",2011110090)</f>
        <v>2011110090</v>
      </c>
      <c r="F21" s="3026">
        <v>48302</v>
      </c>
    </row>
    <row r="22" spans="1:7" ht="20.25" customHeight="1">
      <c r="A22" s="2342" t="s">
        <v>1927</v>
      </c>
      <c r="B22" s="2342" t="str">
        <f ca="1">IF(C22&lt;B2,"已过期",1120020033)</f>
        <v>已过期</v>
      </c>
      <c r="C22" s="3025">
        <v>43304</v>
      </c>
      <c r="D22" s="2342" t="s">
        <v>1927</v>
      </c>
      <c r="E22" s="2342">
        <f ca="1">IF(F22&lt;B2,"已过期",2000110137)</f>
        <v>2000110137</v>
      </c>
      <c r="F22" s="3026">
        <v>46387</v>
      </c>
    </row>
    <row r="23" spans="1:7" ht="20.25" customHeight="1">
      <c r="A23" s="2342" t="s">
        <v>1928</v>
      </c>
      <c r="B23" s="2342">
        <f ca="1">IF(C23&lt;B2,"已过期",1120130048)</f>
        <v>1120130048</v>
      </c>
      <c r="C23" s="3025">
        <v>43686</v>
      </c>
      <c r="D23" s="2342"/>
      <c r="E23" s="2342"/>
      <c r="F23" s="2342"/>
    </row>
    <row r="24" spans="1:7" s="2346" customFormat="1" ht="20.25" customHeight="1">
      <c r="A24" s="2344" t="s">
        <v>2056</v>
      </c>
      <c r="B24" s="2344" t="s">
        <v>2056</v>
      </c>
      <c r="C24" s="3025"/>
      <c r="D24" s="3027" t="s">
        <v>2056</v>
      </c>
      <c r="E24" s="2344" t="s">
        <v>2056</v>
      </c>
      <c r="F24" s="2345"/>
    </row>
    <row r="25" spans="1:7" ht="20.25" customHeight="1">
      <c r="A25" s="3359" t="s">
        <v>1929</v>
      </c>
      <c r="B25" s="3359"/>
      <c r="C25" s="3359"/>
      <c r="D25" s="3359"/>
      <c r="E25" s="3359"/>
      <c r="F25" s="3359"/>
      <c r="G25" s="3359"/>
    </row>
    <row r="26" spans="1:7" ht="20.25" customHeight="1">
      <c r="A26" s="3360" t="s">
        <v>1930</v>
      </c>
      <c r="B26" s="3360"/>
      <c r="C26" s="3360"/>
      <c r="D26" s="3360" t="s">
        <v>1931</v>
      </c>
      <c r="E26" s="3360"/>
      <c r="F26" s="3360"/>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6" t="s">
        <v>2957</v>
      </c>
      <c r="C18" s="1552"/>
    </row>
    <row r="19" spans="1:3">
      <c r="A19" s="8" t="s">
        <v>120</v>
      </c>
      <c r="B19" s="3136" t="s">
        <v>2965</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361"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c r="D53" s="1766"/>
      <c r="E53" s="1766"/>
    </row>
    <row r="54" spans="1:5">
      <c r="A54" s="3361"/>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61"/>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61"/>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61"/>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'不动产比较法-办公'!Print_Area</vt:lpstr>
      <vt:lpstr>'剩余法-待开发'!Print_Area</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2018-10-25T06:33:34Z</cp:lastPrinted>
  <dcterms:created xsi:type="dcterms:W3CDTF">2015-07-13T07:17:23Z</dcterms:created>
  <dcterms:modified xsi:type="dcterms:W3CDTF">2018-11-02T08:11:56Z</dcterms:modified>
</cp:coreProperties>
</file>