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4"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面积表" sheetId="68" r:id="rId11"/>
    <sheet name="面积表 (2)" sheetId="72"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住" sheetId="15" r:id="rId32"/>
    <sheet name="不动产收益法商" sheetId="69" r:id="rId33"/>
    <sheet name="不动产收益法车" sheetId="70" r:id="rId34"/>
    <sheet name="不动产收益法仓" sheetId="71" r:id="rId35"/>
    <sheet name="酒店收入计算" sheetId="57" state="hidden" r:id="rId36"/>
    <sheet name="成本逼近法" sheetId="11" state="hidden" r:id="rId37"/>
    <sheet name="不动产比较法-住宅" sheetId="2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2" hidden="1">'比较法-工业'!$A$1:$L$45</definedName>
    <definedName name="_xlnm._FilterDatabase" localSheetId="19"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7" hidden="1">'不动产比较法-住宅'!$A$1:$L$49</definedName>
    <definedName name="_xlnm._FilterDatabase" localSheetId="12"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73" i="39" l="1"/>
  <c r="J73" i="39" s="1"/>
  <c r="K73" i="39" s="1"/>
  <c r="L73" i="39" s="1"/>
  <c r="M73" i="39" s="1"/>
  <c r="N73" i="39" s="1"/>
  <c r="H73" i="39"/>
  <c r="C40" i="39"/>
  <c r="C13" i="39"/>
  <c r="E35" i="6"/>
  <c r="D35" i="6"/>
  <c r="D34" i="6"/>
  <c r="C10" i="12"/>
  <c r="L7" i="1" l="1"/>
  <c r="L8" i="1" s="1"/>
  <c r="L9" i="1" s="1"/>
  <c r="L10" i="1" s="1"/>
  <c r="C15" i="66"/>
  <c r="B15" i="66"/>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c r="L35" i="72"/>
  <c r="E35" i="72"/>
  <c r="D35" i="72" s="1"/>
  <c r="L34" i="72"/>
  <c r="E34" i="72"/>
  <c r="E52" i="72" s="1"/>
  <c r="Q33" i="72"/>
  <c r="M33" i="72"/>
  <c r="K33" i="72"/>
  <c r="J33" i="72"/>
  <c r="I33" i="72"/>
  <c r="H33" i="72"/>
  <c r="G33" i="72"/>
  <c r="F33" i="72"/>
  <c r="E32" i="72"/>
  <c r="D32" i="72"/>
  <c r="P31" i="72"/>
  <c r="P33" i="72" s="1"/>
  <c r="N31" i="72"/>
  <c r="L31" i="72" s="1"/>
  <c r="E31" i="72"/>
  <c r="L30" i="72"/>
  <c r="E30" i="72"/>
  <c r="D30" i="72"/>
  <c r="L29" i="72"/>
  <c r="E29" i="72"/>
  <c r="D29" i="72" s="1"/>
  <c r="L28" i="72"/>
  <c r="E28" i="72"/>
  <c r="D28" i="72" s="1"/>
  <c r="L27" i="72"/>
  <c r="E27" i="72"/>
  <c r="L26" i="72"/>
  <c r="E26" i="72"/>
  <c r="D26" i="72" s="1"/>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c r="L13" i="72"/>
  <c r="E13" i="72"/>
  <c r="D13" i="72" s="1"/>
  <c r="L12" i="72"/>
  <c r="E12" i="72"/>
  <c r="D12" i="72" s="1"/>
  <c r="L11" i="72"/>
  <c r="E11" i="72"/>
  <c r="L10" i="72"/>
  <c r="E10" i="72"/>
  <c r="D10" i="72" s="1"/>
  <c r="L9" i="72"/>
  <c r="E9" i="72"/>
  <c r="L8" i="72"/>
  <c r="E8" i="72"/>
  <c r="L7" i="72"/>
  <c r="E7" i="72"/>
  <c r="L6" i="72"/>
  <c r="E6" i="72"/>
  <c r="D6" i="72"/>
  <c r="O5" i="72"/>
  <c r="O33" i="72" s="1"/>
  <c r="L5" i="72"/>
  <c r="E5" i="72"/>
  <c r="L4" i="72"/>
  <c r="E4" i="72"/>
  <c r="L3" i="72"/>
  <c r="L33" i="72" s="1"/>
  <c r="E3" i="72"/>
  <c r="D3" i="72"/>
  <c r="E33" i="72" l="1"/>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P53" i="72"/>
  <c r="L52" i="72"/>
  <c r="L53" i="72" s="1"/>
  <c r="D50" i="72"/>
  <c r="D52" i="72" s="1"/>
  <c r="O53" i="72"/>
  <c r="Q54" i="72"/>
  <c r="N33" i="72"/>
  <c r="H52" i="72"/>
  <c r="H53" i="72" s="1"/>
  <c r="N52" i="72"/>
  <c r="N53" i="72" s="1"/>
  <c r="D33" i="72" l="1"/>
  <c r="D53" i="72" s="1"/>
  <c r="D55" i="72" s="1"/>
  <c r="D38" i="9"/>
  <c r="C38" i="9"/>
  <c r="C37" i="9"/>
  <c r="I48" i="39" l="1"/>
  <c r="G48" i="39"/>
  <c r="E48" i="39"/>
  <c r="I40" i="39"/>
  <c r="G40" i="39"/>
  <c r="E40" i="39"/>
  <c r="I13" i="39"/>
  <c r="G13" i="39"/>
  <c r="E13" i="39"/>
  <c r="I9" i="39"/>
  <c r="G9" i="39"/>
  <c r="E9" i="39"/>
  <c r="I7" i="39"/>
  <c r="G7" i="39"/>
  <c r="E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D22" i="69"/>
  <c r="F21" i="69"/>
  <c r="F20" i="69"/>
  <c r="M19" i="69"/>
  <c r="F18" i="69"/>
  <c r="M17" i="69"/>
  <c r="F15" i="69"/>
  <c r="D22" i="70" l="1"/>
  <c r="D22" i="71"/>
  <c r="D23" i="69"/>
  <c r="D23" i="70"/>
  <c r="D23" i="71"/>
  <c r="J51" i="70"/>
  <c r="P62" i="70"/>
  <c r="J51" i="71"/>
  <c r="P62" i="71"/>
  <c r="J51" i="69"/>
  <c r="P62" i="69"/>
  <c r="L46" i="71" l="1"/>
  <c r="L46" i="70"/>
  <c r="L46" i="69"/>
  <c r="L14" i="1" l="1"/>
  <c r="B35" i="1"/>
  <c r="O14" i="3"/>
  <c r="O15" i="3"/>
  <c r="O16" i="3"/>
  <c r="O17" i="3"/>
  <c r="O18" i="3"/>
  <c r="O19" i="3"/>
  <c r="O20" i="3"/>
  <c r="O21" i="3"/>
  <c r="O22" i="3"/>
  <c r="O23" i="3"/>
  <c r="O24" i="3"/>
  <c r="O25" i="3"/>
  <c r="O26" i="3"/>
  <c r="O27" i="3"/>
  <c r="O28" i="3"/>
  <c r="O29" i="3"/>
  <c r="O30" i="3"/>
  <c r="O31" i="3"/>
  <c r="O32" i="3"/>
  <c r="O33" i="3"/>
  <c r="O34" i="3"/>
  <c r="O35" i="3"/>
  <c r="O36" i="3"/>
  <c r="O37" i="3"/>
  <c r="O38" i="3"/>
  <c r="O39" i="3"/>
  <c r="O40" i="3"/>
  <c r="O42" i="3"/>
  <c r="O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2" i="3"/>
  <c r="AT13"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13" i="3"/>
  <c r="AH14" i="3"/>
  <c r="AH15" i="3"/>
  <c r="AH16" i="3"/>
  <c r="AH17" i="3"/>
  <c r="AH18" i="3"/>
  <c r="AH19" i="3"/>
  <c r="AH20" i="3"/>
  <c r="AH21" i="3"/>
  <c r="AH22" i="3"/>
  <c r="AH23" i="3"/>
  <c r="AH24" i="3"/>
  <c r="AH25" i="3"/>
  <c r="AH26" i="3"/>
  <c r="AH27" i="3"/>
  <c r="AH28" i="3"/>
  <c r="AH29" i="3"/>
  <c r="AH30" i="3"/>
  <c r="AH31" i="3"/>
  <c r="AH32" i="3"/>
  <c r="AH33" i="3"/>
  <c r="AH34" i="3"/>
  <c r="AH35" i="3"/>
  <c r="AH36" i="3"/>
  <c r="AH37" i="3"/>
  <c r="AH38" i="3"/>
  <c r="AH39" i="3"/>
  <c r="AH40" i="3"/>
  <c r="AH41" i="3"/>
  <c r="AH42" i="3"/>
  <c r="AH13"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13" i="3"/>
  <c r="K38" i="3"/>
  <c r="K39" i="3"/>
  <c r="K40" i="3"/>
  <c r="K41" i="3"/>
  <c r="K42" i="3"/>
  <c r="M14" i="3"/>
  <c r="M15" i="3"/>
  <c r="M16" i="3"/>
  <c r="M17" i="3"/>
  <c r="M18" i="3"/>
  <c r="M19" i="3"/>
  <c r="M20" i="3"/>
  <c r="M21" i="3"/>
  <c r="M22" i="3"/>
  <c r="M23" i="3"/>
  <c r="M24" i="3"/>
  <c r="M25" i="3"/>
  <c r="M26" i="3"/>
  <c r="M27" i="3"/>
  <c r="M28" i="3"/>
  <c r="M29" i="3"/>
  <c r="M30" i="3"/>
  <c r="M31" i="3"/>
  <c r="M32" i="3"/>
  <c r="M33" i="3"/>
  <c r="M34" i="3"/>
  <c r="M35" i="3"/>
  <c r="M36" i="3"/>
  <c r="M37" i="3"/>
  <c r="M38" i="3"/>
  <c r="M39" i="3"/>
  <c r="M40" i="3"/>
  <c r="M41" i="3"/>
  <c r="M42" i="3"/>
  <c r="M13" i="3"/>
  <c r="K37" i="3"/>
  <c r="K36" i="3"/>
  <c r="I14" i="3"/>
  <c r="I15" i="3"/>
  <c r="I16" i="3"/>
  <c r="I17" i="3"/>
  <c r="I18" i="3"/>
  <c r="I19" i="3"/>
  <c r="I20" i="3"/>
  <c r="I21" i="3"/>
  <c r="I22" i="3"/>
  <c r="I23" i="3"/>
  <c r="I24" i="3"/>
  <c r="I25" i="3"/>
  <c r="I26" i="3"/>
  <c r="I27" i="3"/>
  <c r="I28" i="3"/>
  <c r="I29" i="3"/>
  <c r="I30" i="3"/>
  <c r="I31" i="3"/>
  <c r="I32" i="3"/>
  <c r="I33" i="3"/>
  <c r="I34" i="3"/>
  <c r="I35" i="3"/>
  <c r="I36" i="3"/>
  <c r="I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13" i="3"/>
  <c r="F39" i="68"/>
  <c r="G39" i="68"/>
  <c r="H39" i="68"/>
  <c r="I39" i="68"/>
  <c r="J39" i="68"/>
  <c r="K39" i="68"/>
  <c r="M39" i="68"/>
  <c r="Q39" i="68"/>
  <c r="F20" i="6" s="1"/>
  <c r="E33" i="68"/>
  <c r="E34" i="68"/>
  <c r="E35" i="68"/>
  <c r="E36" i="68"/>
  <c r="E37" i="68"/>
  <c r="E38" i="68"/>
  <c r="D38" i="68" s="1"/>
  <c r="E40" i="68"/>
  <c r="F58" i="68"/>
  <c r="G58" i="68"/>
  <c r="G59" i="68" s="1"/>
  <c r="I58" i="68"/>
  <c r="I59" i="68" s="1"/>
  <c r="J58" i="68"/>
  <c r="K58" i="68"/>
  <c r="K59" i="68" s="1"/>
  <c r="M58" i="68"/>
  <c r="M59" i="68" s="1"/>
  <c r="O58" i="68"/>
  <c r="P58" i="68"/>
  <c r="Q58" i="68"/>
  <c r="Q59" i="68" s="1"/>
  <c r="N56" i="68"/>
  <c r="N58" i="68" s="1"/>
  <c r="H54" i="68"/>
  <c r="H58" i="68" s="1"/>
  <c r="H59" i="68" s="1"/>
  <c r="L54" i="68"/>
  <c r="L55" i="68"/>
  <c r="L56" i="68"/>
  <c r="L57" i="68"/>
  <c r="E55" i="68"/>
  <c r="D55" i="68" s="1"/>
  <c r="E56" i="68"/>
  <c r="D56" i="68" s="1"/>
  <c r="E57" i="68"/>
  <c r="D57" i="68" s="1"/>
  <c r="E50" i="68"/>
  <c r="E51" i="68"/>
  <c r="E52" i="68"/>
  <c r="E53" i="68"/>
  <c r="P37" i="68"/>
  <c r="P39" i="68" s="1"/>
  <c r="L32" i="68"/>
  <c r="L33" i="68"/>
  <c r="L34" i="68"/>
  <c r="L35" i="68"/>
  <c r="L36" i="68"/>
  <c r="E32" i="68"/>
  <c r="L53" i="68"/>
  <c r="D53" i="68" s="1"/>
  <c r="L52" i="68"/>
  <c r="D52" i="68" s="1"/>
  <c r="L51" i="68"/>
  <c r="D51" i="68" s="1"/>
  <c r="L50" i="68"/>
  <c r="D50" i="68" s="1"/>
  <c r="L49" i="68"/>
  <c r="L48" i="68"/>
  <c r="L46" i="68"/>
  <c r="L47" i="68"/>
  <c r="E47" i="68"/>
  <c r="D47" i="68" s="1"/>
  <c r="E48" i="68"/>
  <c r="D48" i="68" s="1"/>
  <c r="E49" i="68"/>
  <c r="D49" i="68" s="1"/>
  <c r="E46" i="68"/>
  <c r="L45" i="68"/>
  <c r="E45" i="68"/>
  <c r="L44" i="68"/>
  <c r="E44" i="68"/>
  <c r="L26" i="68"/>
  <c r="L27" i="68"/>
  <c r="L28" i="68"/>
  <c r="L29" i="68"/>
  <c r="L30" i="68"/>
  <c r="L31" i="68"/>
  <c r="L40" i="68"/>
  <c r="D40" i="68" s="1"/>
  <c r="L41" i="68"/>
  <c r="L42" i="68"/>
  <c r="L43" i="68"/>
  <c r="E26" i="68"/>
  <c r="D26" i="68" s="1"/>
  <c r="E27" i="68"/>
  <c r="D27" i="68" s="1"/>
  <c r="E28" i="68"/>
  <c r="D28" i="68" s="1"/>
  <c r="E29" i="68"/>
  <c r="D29" i="68" s="1"/>
  <c r="E30" i="68"/>
  <c r="D30" i="68" s="1"/>
  <c r="E31" i="68"/>
  <c r="D31" i="68" s="1"/>
  <c r="E41" i="68"/>
  <c r="D41" i="68" s="1"/>
  <c r="E42" i="68"/>
  <c r="D42" i="68" s="1"/>
  <c r="E43" i="68"/>
  <c r="D43" i="68" s="1"/>
  <c r="O11" i="68"/>
  <c r="AN15" i="3" s="1"/>
  <c r="L10" i="68"/>
  <c r="L11" i="68"/>
  <c r="L12" i="68"/>
  <c r="L13" i="68"/>
  <c r="L14" i="68"/>
  <c r="L15" i="68"/>
  <c r="L16" i="68"/>
  <c r="L17" i="68"/>
  <c r="L18" i="68"/>
  <c r="L19" i="68"/>
  <c r="L20" i="68"/>
  <c r="L21" i="68"/>
  <c r="L22" i="68"/>
  <c r="L23" i="68"/>
  <c r="L24" i="68"/>
  <c r="L25" i="68"/>
  <c r="E10" i="68"/>
  <c r="E11" i="68"/>
  <c r="D11" i="68" s="1"/>
  <c r="E12" i="68"/>
  <c r="D12" i="68" s="1"/>
  <c r="E13" i="68"/>
  <c r="D13" i="68" s="1"/>
  <c r="E14" i="68"/>
  <c r="D14" i="68" s="1"/>
  <c r="E15" i="68"/>
  <c r="E16" i="68"/>
  <c r="E17" i="68"/>
  <c r="E18" i="68"/>
  <c r="D18" i="68" s="1"/>
  <c r="E19" i="68"/>
  <c r="E20" i="68"/>
  <c r="D20" i="68" s="1"/>
  <c r="E21" i="68"/>
  <c r="E22" i="68"/>
  <c r="E23" i="68"/>
  <c r="E24" i="68"/>
  <c r="D24" i="68" s="1"/>
  <c r="E25" i="68"/>
  <c r="E9" i="68"/>
  <c r="E39" i="68" s="1"/>
  <c r="L9" i="68"/>
  <c r="H17" i="4"/>
  <c r="C11" i="4"/>
  <c r="B7" i="4"/>
  <c r="D3" i="4"/>
  <c r="D32" i="68" l="1"/>
  <c r="E54" i="68"/>
  <c r="D54" i="68" s="1"/>
  <c r="D35" i="68"/>
  <c r="O39" i="68"/>
  <c r="AT41" i="3"/>
  <c r="O59" i="68"/>
  <c r="D36" i="68"/>
  <c r="D34" i="68"/>
  <c r="F17" i="71"/>
  <c r="F17" i="70"/>
  <c r="F17" i="69"/>
  <c r="F59" i="68"/>
  <c r="Q60" i="68" s="1"/>
  <c r="P59" i="68"/>
  <c r="J59" i="68"/>
  <c r="L58" i="68"/>
  <c r="E58" i="68"/>
  <c r="D33" i="68"/>
  <c r="N37" i="68"/>
  <c r="E59" i="68"/>
  <c r="D46" i="68"/>
  <c r="D44" i="68"/>
  <c r="D45" i="68"/>
  <c r="D23" i="68"/>
  <c r="D25" i="68"/>
  <c r="D22" i="68"/>
  <c r="D21" i="68"/>
  <c r="D9" i="68"/>
  <c r="D17" i="68"/>
  <c r="D19" i="68"/>
  <c r="D16" i="68"/>
  <c r="D15" i="68"/>
  <c r="D10" i="68"/>
  <c r="D7" i="59"/>
  <c r="N39" i="68" l="1"/>
  <c r="O41" i="3"/>
  <c r="D58" i="68"/>
  <c r="N59" i="68"/>
  <c r="L37" i="68"/>
  <c r="AH5" i="59"/>
  <c r="AG5" i="59"/>
  <c r="AE5" i="59"/>
  <c r="AF5" i="59" s="1"/>
  <c r="AD5" i="59"/>
  <c r="Q5" i="59"/>
  <c r="P5" i="59"/>
  <c r="O5" i="59"/>
  <c r="N5" i="59"/>
  <c r="D37" i="68" l="1"/>
  <c r="L39" i="68"/>
  <c r="L59" i="68" s="1"/>
  <c r="I3" i="59"/>
  <c r="L3" i="59"/>
  <c r="K3" i="59"/>
  <c r="J3" i="59"/>
  <c r="D39" i="68" l="1"/>
  <c r="D59" i="68" s="1"/>
  <c r="D61" i="68" s="1"/>
  <c r="AE6" i="59"/>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8" i="67"/>
  <c r="F10" i="67"/>
  <c r="E10" i="67"/>
  <c r="E9" i="67"/>
  <c r="E11" i="67"/>
  <c r="B14" i="67"/>
  <c r="F8" i="67"/>
  <c r="B12" i="67"/>
  <c r="B8" i="67"/>
  <c r="F12" i="67"/>
  <c r="B11" i="67"/>
  <c r="B13" i="67"/>
  <c r="F11" i="67"/>
  <c r="F14" i="67"/>
  <c r="B10" i="67"/>
  <c r="F13" i="67"/>
  <c r="E12" i="67"/>
  <c r="E13" i="67"/>
  <c r="E14" i="67"/>
  <c r="B9" i="67"/>
  <c r="F9"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5" i="65"/>
  <c r="J3" i="65"/>
  <c r="N6" i="65"/>
  <c r="N3" i="65"/>
  <c r="N4" i="65"/>
  <c r="J1" i="65" l="1"/>
  <c r="C4" i="65"/>
  <c r="B39" i="1" s="1"/>
  <c r="I3" i="65"/>
  <c r="I7" i="65"/>
  <c r="I6" i="65"/>
  <c r="I4" i="65"/>
  <c r="I5" i="65"/>
  <c r="J4" i="65"/>
  <c r="J5" i="65"/>
  <c r="J6" i="65"/>
  <c r="J7"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D1" i="57" s="1"/>
  <c r="E10" i="57" s="1"/>
  <c r="I9" i="57"/>
  <c r="I8" i="57"/>
  <c r="I7" i="57"/>
  <c r="I6" i="57"/>
  <c r="I5" i="57"/>
  <c r="I4" i="57"/>
  <c r="I3" i="57"/>
  <c r="I10" i="57" s="1"/>
  <c r="I21"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Z133" i="3" s="1"/>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Z117" i="3" s="1"/>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AZ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s="1"/>
  <c r="AZ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0"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A516" i="3" s="1"/>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A520" i="3" s="1"/>
  <c r="BD520" i="3"/>
  <c r="BE520" i="3"/>
  <c r="BF520" i="3"/>
  <c r="BG520" i="3"/>
  <c r="BH520" i="3"/>
  <c r="BI520" i="3"/>
  <c r="BJ520" i="3"/>
  <c r="BK520" i="3"/>
  <c r="BM520" i="3"/>
  <c r="BN520" i="3"/>
  <c r="BO520" i="3"/>
  <c r="BP520" i="3"/>
  <c r="BR520" i="3"/>
  <c r="BS520" i="3"/>
  <c r="BT520" i="3"/>
  <c r="H521" i="3"/>
  <c r="AC521" i="3"/>
  <c r="BB521" i="3"/>
  <c r="BA521" i="3" s="1"/>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L525" i="3" s="1"/>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L527" i="3" s="1"/>
  <c r="BN527" i="3"/>
  <c r="BO527" i="3"/>
  <c r="BP527" i="3"/>
  <c r="BQ527" i="3"/>
  <c r="BR527" i="3"/>
  <c r="BS527" i="3"/>
  <c r="BT527" i="3"/>
  <c r="H528" i="3"/>
  <c r="G528" i="3" s="1"/>
  <c r="AC528" i="3"/>
  <c r="BB528" i="3"/>
  <c r="BC528" i="3"/>
  <c r="BA528" i="3" s="1"/>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BT5" i="3" s="1"/>
  <c r="H536" i="3"/>
  <c r="G536" i="3"/>
  <c r="AC536" i="3"/>
  <c r="BB536" i="3"/>
  <c r="BA536" i="3" s="1"/>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G539" i="3" s="1"/>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L541" i="3" s="1"/>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A543" i="3" s="1"/>
  <c r="BC543" i="3"/>
  <c r="BD543" i="3"/>
  <c r="BE543" i="3"/>
  <c r="BF543" i="3"/>
  <c r="BG543" i="3"/>
  <c r="BH543" i="3"/>
  <c r="BI543" i="3"/>
  <c r="BJ543" i="3"/>
  <c r="BK543" i="3"/>
  <c r="BM543" i="3"/>
  <c r="BN543" i="3"/>
  <c r="BO543" i="3"/>
  <c r="BP543" i="3"/>
  <c r="BQ543" i="3"/>
  <c r="BR543" i="3"/>
  <c r="BS543" i="3"/>
  <c r="BT543" i="3"/>
  <c r="H544" i="3"/>
  <c r="G544" i="3" s="1"/>
  <c r="AC544" i="3"/>
  <c r="BB544" i="3"/>
  <c r="BA544" i="3" s="1"/>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L545" i="3" s="1"/>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A554" i="3" s="1"/>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L555" i="3" s="1"/>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L557" i="3" s="1"/>
  <c r="BO557" i="3"/>
  <c r="BP557" i="3"/>
  <c r="BQ557" i="3"/>
  <c r="BR557" i="3"/>
  <c r="BS557" i="3"/>
  <c r="BT557" i="3"/>
  <c r="H558" i="3"/>
  <c r="AC558" i="3"/>
  <c r="G558" i="3" s="1"/>
  <c r="BB558" i="3"/>
  <c r="BC558" i="3"/>
  <c r="BA558" i="3" s="1"/>
  <c r="BD558" i="3"/>
  <c r="BE558" i="3"/>
  <c r="BF558" i="3"/>
  <c r="BG558" i="3"/>
  <c r="BH558" i="3"/>
  <c r="BI558" i="3"/>
  <c r="BJ558" i="3"/>
  <c r="BK558" i="3"/>
  <c r="BM558" i="3"/>
  <c r="BN558" i="3"/>
  <c r="BO558" i="3"/>
  <c r="BP558" i="3"/>
  <c r="BR558" i="3"/>
  <c r="BS558" i="3"/>
  <c r="BT558" i="3"/>
  <c r="H559" i="3"/>
  <c r="AC559" i="3"/>
  <c r="G559" i="3"/>
  <c r="BB559" i="3"/>
  <c r="BC559" i="3"/>
  <c r="BA559" i="3" s="1"/>
  <c r="BD559" i="3"/>
  <c r="BE559" i="3"/>
  <c r="BF559" i="3"/>
  <c r="BG559" i="3"/>
  <c r="BH559" i="3"/>
  <c r="BI559" i="3"/>
  <c r="BJ559" i="3"/>
  <c r="BK559" i="3"/>
  <c r="BM559" i="3"/>
  <c r="BN559" i="3"/>
  <c r="BL559" i="3" s="1"/>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G561" i="3" s="1"/>
  <c r="AC561" i="3"/>
  <c r="BB561" i="3"/>
  <c r="BA561" i="3" s="1"/>
  <c r="AZ561" i="3" s="1"/>
  <c r="BC561" i="3"/>
  <c r="BD561" i="3"/>
  <c r="BE561" i="3"/>
  <c r="BF561" i="3"/>
  <c r="BG561" i="3"/>
  <c r="BH561" i="3"/>
  <c r="BI561" i="3"/>
  <c r="BJ561" i="3"/>
  <c r="BK561" i="3"/>
  <c r="BM561" i="3"/>
  <c r="BN561" i="3"/>
  <c r="BO561" i="3"/>
  <c r="BP561" i="3"/>
  <c r="BQ561" i="3"/>
  <c r="BR561" i="3"/>
  <c r="BS561" i="3"/>
  <c r="BT561" i="3"/>
  <c r="H562" i="3"/>
  <c r="G562" i="3" s="1"/>
  <c r="AC562" i="3"/>
  <c r="BB562" i="3"/>
  <c r="BA562" i="3" s="1"/>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A569" i="3" s="1"/>
  <c r="AZ569" i="3" s="1"/>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W12" i="36" s="1"/>
  <c r="B55" i="36"/>
  <c r="J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AB8" i="35" s="1"/>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J9" i="33"/>
  <c r="AC9" i="33" s="1"/>
  <c r="H9" i="33"/>
  <c r="AB9" i="33" s="1"/>
  <c r="F9" i="33"/>
  <c r="AA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c r="D125" i="21"/>
  <c r="E125" i="21"/>
  <c r="F125" i="21" s="1"/>
  <c r="G125" i="21" s="1"/>
  <c r="D123" i="21"/>
  <c r="E123" i="2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D9" i="12"/>
  <c r="G9" i="12"/>
  <c r="K5" i="3"/>
  <c r="F23" i="6" s="1"/>
  <c r="E23" i="6" s="1"/>
  <c r="J5" i="3"/>
  <c r="BE10" i="3"/>
  <c r="BD13" i="3"/>
  <c r="BE13" i="3"/>
  <c r="BF13" i="3"/>
  <c r="BF5" i="3" s="1"/>
  <c r="BG13" i="3"/>
  <c r="BG5" i="3" s="1"/>
  <c r="BH13" i="3"/>
  <c r="BH5" i="3" s="1"/>
  <c r="BI13" i="3"/>
  <c r="BJ13" i="3"/>
  <c r="BJ5" i="3" s="1"/>
  <c r="BK13" i="3"/>
  <c r="BM13" i="3"/>
  <c r="BN13" i="3"/>
  <c r="BO13" i="3"/>
  <c r="BP13" i="3"/>
  <c r="BS13" i="3"/>
  <c r="BT13" i="3"/>
  <c r="BB570" i="3"/>
  <c r="BC570" i="3"/>
  <c r="BD570" i="3"/>
  <c r="BE570" i="3"/>
  <c r="BE5" i="3" s="1"/>
  <c r="BF570" i="3"/>
  <c r="BG570" i="3"/>
  <c r="BH570" i="3"/>
  <c r="BI570" i="3"/>
  <c r="BJ570" i="3"/>
  <c r="BK570" i="3"/>
  <c r="BM570" i="3"/>
  <c r="BN570" i="3"/>
  <c r="BL570" i="3" s="1"/>
  <c r="BO570" i="3"/>
  <c r="BP570" i="3"/>
  <c r="BQ570" i="3"/>
  <c r="BR570" i="3"/>
  <c r="BS570" i="3"/>
  <c r="BT570" i="3"/>
  <c r="BB571" i="3"/>
  <c r="BC571" i="3"/>
  <c r="BA571" i="3" s="1"/>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F19" i="6" s="1"/>
  <c r="E19" i="6" s="1"/>
  <c r="L5" i="3"/>
  <c r="M5" i="3"/>
  <c r="G21" i="6" s="1"/>
  <c r="N5" i="3"/>
  <c r="O5" i="3"/>
  <c r="G22" i="6" s="1"/>
  <c r="E22" i="6" s="1"/>
  <c r="P5" i="3"/>
  <c r="Q5" i="3"/>
  <c r="R5" i="3"/>
  <c r="S5" i="3"/>
  <c r="T5" i="3"/>
  <c r="U5" i="3"/>
  <c r="V5" i="3"/>
  <c r="W5" i="3"/>
  <c r="X5" i="3"/>
  <c r="Y5" i="3"/>
  <c r="Z5" i="3"/>
  <c r="AA5" i="3"/>
  <c r="AB5" i="3"/>
  <c r="H570" i="3"/>
  <c r="G570" i="3" s="1"/>
  <c r="H571" i="3"/>
  <c r="G571" i="3" s="1"/>
  <c r="H572" i="3"/>
  <c r="G572" i="3" s="1"/>
  <c r="F5" i="3"/>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S33" i="21" s="1"/>
  <c r="J10" i="21"/>
  <c r="AC10" i="21" s="1"/>
  <c r="H26" i="21"/>
  <c r="U26" i="21" s="1"/>
  <c r="F19" i="21"/>
  <c r="AA19" i="21" s="1"/>
  <c r="H19" i="21"/>
  <c r="AB19" i="21" s="1"/>
  <c r="J19" i="21"/>
  <c r="W19" i="21" s="1"/>
  <c r="J12" i="21"/>
  <c r="AC12"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S33" i="33"/>
  <c r="W33" i="33"/>
  <c r="U38" i="33"/>
  <c r="S8" i="21"/>
  <c r="W8" i="21"/>
  <c r="AB27" i="35"/>
  <c r="S10" i="40"/>
  <c r="W10" i="40"/>
  <c r="S11" i="40"/>
  <c r="U11" i="40"/>
  <c r="S36" i="40"/>
  <c r="U36" i="40"/>
  <c r="S40" i="39"/>
  <c r="S36" i="39"/>
  <c r="F11" i="21"/>
  <c r="S11" i="21" s="1"/>
  <c r="AC40" i="21"/>
  <c r="AA38" i="21"/>
  <c r="AB36" i="21"/>
  <c r="AC35" i="21"/>
  <c r="C29" i="39"/>
  <c r="C23" i="39"/>
  <c r="U36" i="39"/>
  <c r="H32" i="33"/>
  <c r="AB32" i="33" s="1"/>
  <c r="H11" i="21"/>
  <c r="U11" i="21" s="1"/>
  <c r="J11" i="21"/>
  <c r="W11" i="21"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W40" i="33"/>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BL572" i="3"/>
  <c r="J14" i="21"/>
  <c r="W14" i="21" s="1"/>
  <c r="H14" i="21"/>
  <c r="U14" i="21" s="1"/>
  <c r="F28" i="21"/>
  <c r="AA28" i="21" s="1"/>
  <c r="H30" i="21"/>
  <c r="U30" i="21" s="1"/>
  <c r="J30" i="21"/>
  <c r="AC30" i="21" s="1"/>
  <c r="H44" i="21"/>
  <c r="U44" i="21" s="1"/>
  <c r="H46" i="21"/>
  <c r="AB46" i="21" s="1"/>
  <c r="F46" i="21"/>
  <c r="AA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AB40" i="37"/>
  <c r="J36" i="37"/>
  <c r="AC36" i="37" s="1"/>
  <c r="AB28" i="36"/>
  <c r="AB31" i="21"/>
  <c r="AB13" i="21"/>
  <c r="U46" i="21"/>
  <c r="W30" i="21"/>
  <c r="S28" i="21"/>
  <c r="AB14" i="21"/>
  <c r="AC14" i="21"/>
  <c r="W31" i="34"/>
  <c r="U36" i="37"/>
  <c r="AC13" i="36"/>
  <c r="AB45" i="33"/>
  <c r="AA27" i="33"/>
  <c r="S45" i="21"/>
  <c r="S19" i="21"/>
  <c r="G521" i="3"/>
  <c r="G513" i="3"/>
  <c r="G508" i="3"/>
  <c r="G499" i="3"/>
  <c r="G493" i="3"/>
  <c r="G485" i="3"/>
  <c r="G17" i="3"/>
  <c r="G565" i="3"/>
  <c r="G557" i="3"/>
  <c r="G545" i="3"/>
  <c r="BL569" i="3"/>
  <c r="BL561" i="3"/>
  <c r="BL553" i="3"/>
  <c r="BL535" i="3"/>
  <c r="BL519" i="3"/>
  <c r="BL511" i="3"/>
  <c r="BL501" i="3"/>
  <c r="BL491" i="3"/>
  <c r="BL483" i="3"/>
  <c r="G16" i="3"/>
  <c r="BL563" i="3"/>
  <c r="BL551" i="3"/>
  <c r="BL533" i="3"/>
  <c r="G518" i="3"/>
  <c r="G510" i="3"/>
  <c r="BL503" i="3"/>
  <c r="BL495" i="3"/>
  <c r="BL485" i="3"/>
  <c r="G18" i="3"/>
  <c r="BA565" i="3"/>
  <c r="BA557" i="3"/>
  <c r="AZ557" i="3" s="1"/>
  <c r="BA555" i="3"/>
  <c r="AZ555" i="3" s="1"/>
  <c r="BA551" i="3"/>
  <c r="AZ551" i="3" s="1"/>
  <c r="BA545" i="3"/>
  <c r="AZ545" i="3" s="1"/>
  <c r="BA541" i="3"/>
  <c r="AZ541" i="3" s="1"/>
  <c r="BA531" i="3"/>
  <c r="BA509" i="3"/>
  <c r="BA505" i="3"/>
  <c r="BA501" i="3"/>
  <c r="BA493" i="3"/>
  <c r="AZ493" i="3"/>
  <c r="BA487" i="3"/>
  <c r="BA19" i="3"/>
  <c r="BA566" i="3"/>
  <c r="BA560" i="3"/>
  <c r="BA556" i="3"/>
  <c r="BA550" i="3"/>
  <c r="BA546" i="3"/>
  <c r="BA540" i="3"/>
  <c r="AZ540" i="3" s="1"/>
  <c r="BA532" i="3"/>
  <c r="BA524" i="3"/>
  <c r="BA512" i="3"/>
  <c r="BA508" i="3"/>
  <c r="BA502" i="3"/>
  <c r="AZ502" i="3" s="1"/>
  <c r="BA498" i="3"/>
  <c r="BA492" i="3"/>
  <c r="BA488" i="3"/>
  <c r="BA484" i="3"/>
  <c r="BA20" i="3"/>
  <c r="G566" i="3"/>
  <c r="G560" i="3"/>
  <c r="G556" i="3"/>
  <c r="G550" i="3"/>
  <c r="BL543" i="3"/>
  <c r="BA542" i="3"/>
  <c r="AC542" i="3"/>
  <c r="G542" i="3"/>
  <c r="BQ542" i="3"/>
  <c r="BL542" i="3"/>
  <c r="BQ568" i="3"/>
  <c r="BQ566" i="3"/>
  <c r="BQ564" i="3"/>
  <c r="BQ562" i="3"/>
  <c r="BQ560" i="3"/>
  <c r="BL560" i="3"/>
  <c r="BQ558" i="3"/>
  <c r="BL558" i="3"/>
  <c r="BQ556" i="3"/>
  <c r="BL556" i="3"/>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AZ520" i="3" s="1"/>
  <c r="BQ518" i="3"/>
  <c r="BQ516" i="3"/>
  <c r="BQ514" i="3"/>
  <c r="BL514" i="3" s="1"/>
  <c r="BQ512" i="3"/>
  <c r="BQ510" i="3"/>
  <c r="BL510" i="3"/>
  <c r="BQ508" i="3"/>
  <c r="BL508" i="3"/>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AC12" i="35"/>
  <c r="AC23" i="37"/>
  <c r="S27" i="37"/>
  <c r="AC8" i="37"/>
  <c r="S25" i="37"/>
  <c r="AB8" i="34"/>
  <c r="AC37" i="33"/>
  <c r="AA13" i="33"/>
  <c r="AC45" i="33"/>
  <c r="U19" i="21"/>
  <c r="AA36" i="21"/>
  <c r="S39" i="33"/>
  <c r="F43" i="33"/>
  <c r="AA43" i="33" s="1"/>
  <c r="S10" i="35"/>
  <c r="G107" i="37"/>
  <c r="H107" i="37" s="1"/>
  <c r="I107" i="37" s="1"/>
  <c r="J107" i="37" s="1"/>
  <c r="K107" i="37" s="1"/>
  <c r="L107" i="37" s="1"/>
  <c r="M107" i="37" s="1"/>
  <c r="F37" i="21"/>
  <c r="S37" i="21" s="1"/>
  <c r="J37" i="21"/>
  <c r="W37" i="21"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AZ558" i="3"/>
  <c r="AZ560" i="3"/>
  <c r="G483" i="3"/>
  <c r="G515" i="3"/>
  <c r="G507" i="3"/>
  <c r="G501" i="3"/>
  <c r="BA15" i="3"/>
  <c r="BL17" i="3"/>
  <c r="BL15" i="3"/>
  <c r="BA14" i="3"/>
  <c r="AZ14" i="3" s="1"/>
  <c r="J57" i="39"/>
  <c r="H13" i="40"/>
  <c r="U13" i="40" s="1"/>
  <c r="H12" i="48"/>
  <c r="I4" i="4"/>
  <c r="K141" i="21"/>
  <c r="K143" i="21"/>
  <c r="K144" i="21"/>
  <c r="I60" i="40"/>
  <c r="C60" i="40" s="1"/>
  <c r="W9" i="33"/>
  <c r="G297" i="3"/>
  <c r="BL298" i="3"/>
  <c r="G299" i="3"/>
  <c r="BL300" i="3"/>
  <c r="AZ300" i="3" s="1"/>
  <c r="BA302" i="3"/>
  <c r="AZ302" i="3"/>
  <c r="BA303" i="3"/>
  <c r="BL303" i="3"/>
  <c r="AZ303" i="3" s="1"/>
  <c r="G304" i="3"/>
  <c r="BA305" i="3"/>
  <c r="AZ305" i="3" s="1"/>
  <c r="G321" i="3"/>
  <c r="BL322" i="3"/>
  <c r="G323" i="3"/>
  <c r="BL324" i="3"/>
  <c r="BA326" i="3"/>
  <c r="AZ326" i="3" s="1"/>
  <c r="BA327" i="3"/>
  <c r="BL327" i="3"/>
  <c r="AZ327" i="3"/>
  <c r="G328" i="3"/>
  <c r="BA329" i="3"/>
  <c r="AZ329" i="3" s="1"/>
  <c r="G337" i="3"/>
  <c r="BL338" i="3"/>
  <c r="G339" i="3"/>
  <c r="BL340" i="3"/>
  <c r="BA342" i="3"/>
  <c r="AZ342" i="3" s="1"/>
  <c r="BA343" i="3"/>
  <c r="BL343" i="3"/>
  <c r="AZ343" i="3"/>
  <c r="G344" i="3"/>
  <c r="BA345" i="3"/>
  <c r="AZ345" i="3" s="1"/>
  <c r="G353" i="3"/>
  <c r="BL354" i="3"/>
  <c r="G355" i="3"/>
  <c r="BL356" i="3"/>
  <c r="G357" i="3"/>
  <c r="BL358" i="3"/>
  <c r="AZ358" i="3"/>
  <c r="G359" i="3"/>
  <c r="BA360" i="3"/>
  <c r="AZ360" i="3" s="1"/>
  <c r="BA361" i="3"/>
  <c r="AZ361" i="3" s="1"/>
  <c r="BL361" i="3"/>
  <c r="G362" i="3"/>
  <c r="BA363" i="3"/>
  <c r="G371" i="3"/>
  <c r="BL372" i="3"/>
  <c r="G373" i="3"/>
  <c r="BL374" i="3"/>
  <c r="BA376" i="3"/>
  <c r="AZ376" i="3" s="1"/>
  <c r="BA377" i="3"/>
  <c r="BL377" i="3"/>
  <c r="G378" i="3"/>
  <c r="BA379" i="3"/>
  <c r="AZ379" i="3" s="1"/>
  <c r="BA114" i="3"/>
  <c r="AZ114" i="3"/>
  <c r="BL115" i="3"/>
  <c r="AZ115" i="3"/>
  <c r="G116" i="3"/>
  <c r="BA118" i="3"/>
  <c r="AZ118" i="3" s="1"/>
  <c r="BL119" i="3"/>
  <c r="AZ119" i="3" s="1"/>
  <c r="G120" i="3"/>
  <c r="BA122" i="3"/>
  <c r="AZ122" i="3"/>
  <c r="BL123" i="3"/>
  <c r="AZ123" i="3"/>
  <c r="G124" i="3"/>
  <c r="BA126" i="3"/>
  <c r="AZ126" i="3" s="1"/>
  <c r="BL127" i="3"/>
  <c r="AZ127" i="3" s="1"/>
  <c r="G128" i="3"/>
  <c r="BA130" i="3"/>
  <c r="AZ130" i="3" s="1"/>
  <c r="BL131" i="3"/>
  <c r="AZ131" i="3" s="1"/>
  <c r="G132" i="3"/>
  <c r="BA134" i="3"/>
  <c r="AZ134" i="3"/>
  <c r="BL135" i="3"/>
  <c r="AZ135" i="3"/>
  <c r="G136" i="3"/>
  <c r="BA138" i="3"/>
  <c r="AZ138" i="3" s="1"/>
  <c r="BL139" i="3"/>
  <c r="AZ139" i="3" s="1"/>
  <c r="G140" i="3"/>
  <c r="BA142" i="3"/>
  <c r="AZ142" i="3"/>
  <c r="BL143" i="3"/>
  <c r="G144" i="3"/>
  <c r="BA146" i="3"/>
  <c r="AZ146" i="3"/>
  <c r="BL147" i="3"/>
  <c r="AZ147" i="3"/>
  <c r="G148" i="3"/>
  <c r="BA150" i="3"/>
  <c r="AZ150" i="3" s="1"/>
  <c r="BL151" i="3"/>
  <c r="AZ151" i="3" s="1"/>
  <c r="BA153" i="3"/>
  <c r="AZ153" i="3" s="1"/>
  <c r="BL154" i="3"/>
  <c r="G155" i="3"/>
  <c r="BA157" i="3"/>
  <c r="AZ157" i="3" s="1"/>
  <c r="BL158" i="3"/>
  <c r="AZ158" i="3" s="1"/>
  <c r="G159" i="3"/>
  <c r="BA161" i="3"/>
  <c r="AZ161" i="3" s="1"/>
  <c r="BL162" i="3"/>
  <c r="AZ162" i="3" s="1"/>
  <c r="G163" i="3"/>
  <c r="BA165" i="3"/>
  <c r="AZ165" i="3" s="1"/>
  <c r="BL166" i="3"/>
  <c r="AZ166" i="3" s="1"/>
  <c r="G167" i="3"/>
  <c r="BA169" i="3"/>
  <c r="AZ169" i="3" s="1"/>
  <c r="BL170" i="3"/>
  <c r="G171" i="3"/>
  <c r="BA173" i="3"/>
  <c r="AZ173" i="3" s="1"/>
  <c r="BL174" i="3"/>
  <c r="AZ174" i="3" s="1"/>
  <c r="G175" i="3"/>
  <c r="BA178" i="3"/>
  <c r="AZ178" i="3" s="1"/>
  <c r="BL179" i="3"/>
  <c r="AZ179" i="3" s="1"/>
  <c r="G180" i="3"/>
  <c r="AZ47" i="3"/>
  <c r="AZ51" i="3"/>
  <c r="AZ55" i="3"/>
  <c r="AZ59" i="3"/>
  <c r="G537" i="3"/>
  <c r="BL181" i="3"/>
  <c r="AZ181" i="3"/>
  <c r="G182" i="3"/>
  <c r="BA184" i="3"/>
  <c r="AZ184" i="3" s="1"/>
  <c r="BL185" i="3"/>
  <c r="AZ185" i="3" s="1"/>
  <c r="G186" i="3"/>
  <c r="BA188" i="3"/>
  <c r="AZ188" i="3" s="1"/>
  <c r="BL189" i="3"/>
  <c r="AZ189" i="3" s="1"/>
  <c r="G190" i="3"/>
  <c r="BA192" i="3"/>
  <c r="AZ192" i="3"/>
  <c r="BL193" i="3"/>
  <c r="AZ193" i="3"/>
  <c r="G194" i="3"/>
  <c r="BA196" i="3"/>
  <c r="AZ196" i="3" s="1"/>
  <c r="BL197" i="3"/>
  <c r="AZ197" i="3" s="1"/>
  <c r="G198" i="3"/>
  <c r="BA200" i="3"/>
  <c r="AZ200" i="3"/>
  <c r="BL201" i="3"/>
  <c r="AZ66" i="3"/>
  <c r="AZ70" i="3"/>
  <c r="AZ74" i="3"/>
  <c r="AZ78" i="3"/>
  <c r="AZ82" i="3"/>
  <c r="AZ201" i="3"/>
  <c r="AZ84" i="3"/>
  <c r="AZ86" i="3"/>
  <c r="AZ90" i="3"/>
  <c r="AZ94" i="3"/>
  <c r="AZ98" i="3"/>
  <c r="AZ102" i="3"/>
  <c r="AZ106" i="3"/>
  <c r="AZ110" i="3"/>
  <c r="G491" i="3"/>
  <c r="BA298" i="3"/>
  <c r="AZ298" i="3" s="1"/>
  <c r="BA299" i="3"/>
  <c r="BL299" i="3"/>
  <c r="G300" i="3"/>
  <c r="G303" i="3"/>
  <c r="BL304" i="3"/>
  <c r="BA306" i="3"/>
  <c r="AZ306" i="3" s="1"/>
  <c r="BA307" i="3"/>
  <c r="BL307" i="3"/>
  <c r="AZ307" i="3"/>
  <c r="G308" i="3"/>
  <c r="G319" i="3"/>
  <c r="BL320" i="3"/>
  <c r="BA322" i="3"/>
  <c r="AZ322" i="3" s="1"/>
  <c r="BA323" i="3"/>
  <c r="AZ323" i="3"/>
  <c r="BL323" i="3"/>
  <c r="G324" i="3"/>
  <c r="G327" i="3"/>
  <c r="BL328" i="3"/>
  <c r="BA330" i="3"/>
  <c r="AZ330" i="3"/>
  <c r="BA331" i="3"/>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AZ143" i="3"/>
  <c r="BA358" i="3"/>
  <c r="BA359" i="3"/>
  <c r="BL359" i="3"/>
  <c r="AZ359" i="3"/>
  <c r="G360" i="3"/>
  <c r="G361" i="3"/>
  <c r="BL362" i="3"/>
  <c r="BA364" i="3"/>
  <c r="AZ364" i="3" s="1"/>
  <c r="BA365" i="3"/>
  <c r="AZ365" i="3" s="1"/>
  <c r="BL365" i="3"/>
  <c r="G366" i="3"/>
  <c r="G369" i="3"/>
  <c r="BL370" i="3"/>
  <c r="BA372" i="3"/>
  <c r="AZ372" i="3"/>
  <c r="BA373" i="3"/>
  <c r="BL373" i="3"/>
  <c r="AZ373" i="3" s="1"/>
  <c r="G374" i="3"/>
  <c r="G377" i="3"/>
  <c r="BL378" i="3"/>
  <c r="BA380" i="3"/>
  <c r="AZ380" i="3"/>
  <c r="BA381" i="3"/>
  <c r="AZ381" i="3"/>
  <c r="BL381" i="3"/>
  <c r="G382" i="3"/>
  <c r="G385" i="3"/>
  <c r="AZ154" i="3"/>
  <c r="AZ170" i="3"/>
  <c r="AZ183" i="3"/>
  <c r="AZ187" i="3"/>
  <c r="AZ191" i="3"/>
  <c r="AZ195" i="3"/>
  <c r="AZ199" i="3"/>
  <c r="AZ203" i="3"/>
  <c r="G523" i="3"/>
  <c r="BL297" i="3"/>
  <c r="AZ297" i="3" s="1"/>
  <c r="G298" i="3"/>
  <c r="BA300" i="3"/>
  <c r="BL301" i="3"/>
  <c r="AZ301" i="3" s="1"/>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s="1"/>
  <c r="BL371" i="3"/>
  <c r="AZ371" i="3"/>
  <c r="G372" i="3"/>
  <c r="BA374" i="3"/>
  <c r="AZ374" i="3" s="1"/>
  <c r="BL375" i="3"/>
  <c r="G376" i="3"/>
  <c r="BA378" i="3"/>
  <c r="AZ378" i="3" s="1"/>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51" i="3"/>
  <c r="AZ369" i="3"/>
  <c r="AZ385" i="3"/>
  <c r="AZ390" i="3"/>
  <c r="AZ398" i="3"/>
  <c r="AZ414" i="3"/>
  <c r="AZ422"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E78" i="40"/>
  <c r="F78" i="40" s="1"/>
  <c r="G78" i="40" s="1"/>
  <c r="H78" i="40" s="1"/>
  <c r="I78" i="40" s="1"/>
  <c r="J78" i="40" s="1"/>
  <c r="K78" i="40" s="1"/>
  <c r="L78" i="40" s="1"/>
  <c r="M78" i="40" s="1"/>
  <c r="R16" i="4"/>
  <c r="P16" i="4"/>
  <c r="D3" i="35"/>
  <c r="G4" i="4"/>
  <c r="S37" i="34"/>
  <c r="J16" i="35"/>
  <c r="W16" i="35" s="1"/>
  <c r="U42" i="21"/>
  <c r="W25" i="35"/>
  <c r="H11" i="37"/>
  <c r="W37" i="37"/>
  <c r="AA30" i="33"/>
  <c r="AA36" i="37"/>
  <c r="S42" i="33"/>
  <c r="U32" i="33"/>
  <c r="AB17" i="37"/>
  <c r="AZ508" i="3"/>
  <c r="AC29" i="33"/>
  <c r="AA45" i="33"/>
  <c r="AC10" i="36"/>
  <c r="AC14" i="37"/>
  <c r="AB35" i="35"/>
  <c r="S25" i="35"/>
  <c r="W44" i="33"/>
  <c r="AC29" i="37"/>
  <c r="AC32" i="36"/>
  <c r="AB28" i="33"/>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AA33" i="21"/>
  <c r="U39" i="21"/>
  <c r="J32" i="21"/>
  <c r="AC32" i="21" s="1"/>
  <c r="AC5" i="3"/>
  <c r="F17" i="21"/>
  <c r="S17" i="21" s="1"/>
  <c r="H17" i="21"/>
  <c r="AB17" i="21" s="1"/>
  <c r="J17" i="21"/>
  <c r="AC17" i="21" s="1"/>
  <c r="H37" i="21"/>
  <c r="U3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B29" i="35"/>
  <c r="AC19" i="33"/>
  <c r="U43" i="34"/>
  <c r="AC34" i="37"/>
  <c r="S35" i="37"/>
  <c r="AA35" i="37"/>
  <c r="AA32" i="21"/>
  <c r="U38" i="21"/>
  <c r="BL571" i="3"/>
  <c r="AZ571" i="3"/>
  <c r="F42" i="21"/>
  <c r="AA42" i="21" s="1"/>
  <c r="AB40" i="33"/>
  <c r="U40" i="33"/>
  <c r="AA35" i="34"/>
  <c r="S35" i="34"/>
  <c r="E90" i="34"/>
  <c r="H27" i="34"/>
  <c r="AB27" i="34" s="1"/>
  <c r="U8" i="35"/>
  <c r="J14" i="35"/>
  <c r="AC14" i="35" s="1"/>
  <c r="F14" i="35"/>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F29" i="35"/>
  <c r="S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BA549" i="3"/>
  <c r="BL548" i="3"/>
  <c r="AZ548" i="3" s="1"/>
  <c r="BA548" i="3"/>
  <c r="BL547" i="3"/>
  <c r="BA547" i="3"/>
  <c r="BL539" i="3"/>
  <c r="BA539" i="3"/>
  <c r="AZ539" i="3"/>
  <c r="BA538" i="3"/>
  <c r="AZ538" i="3"/>
  <c r="BL537" i="3"/>
  <c r="BA537" i="3"/>
  <c r="AZ537" i="3" s="1"/>
  <c r="BL536" i="3"/>
  <c r="AZ536" i="3"/>
  <c r="BA535" i="3"/>
  <c r="AZ535" i="3"/>
  <c r="BA534" i="3"/>
  <c r="BA533" i="3"/>
  <c r="AZ533" i="3"/>
  <c r="BL531" i="3"/>
  <c r="AZ531" i="3"/>
  <c r="BA530" i="3"/>
  <c r="BL529" i="3"/>
  <c r="BA529" i="3"/>
  <c r="AZ529" i="3" s="1"/>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BA496" i="3"/>
  <c r="AZ496" i="3" s="1"/>
  <c r="BA495" i="3"/>
  <c r="AZ495" i="3" s="1"/>
  <c r="BL494" i="3"/>
  <c r="BA494" i="3"/>
  <c r="AZ494" i="3"/>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B5" i="3"/>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W12" i="21"/>
  <c r="AB33" i="21"/>
  <c r="S35" i="21"/>
  <c r="AB10" i="21"/>
  <c r="U8" i="21"/>
  <c r="AB8" i="21"/>
  <c r="S34" i="21"/>
  <c r="AC36" i="21"/>
  <c r="AB8" i="33"/>
  <c r="E106" i="33"/>
  <c r="F106" i="33" s="1"/>
  <c r="H34" i="33"/>
  <c r="U34" i="33" s="1"/>
  <c r="F34" i="33"/>
  <c r="S34" i="33" s="1"/>
  <c r="F41" i="33"/>
  <c r="W34" i="34"/>
  <c r="S39" i="34"/>
  <c r="S43" i="34"/>
  <c r="E78" i="34"/>
  <c r="F78" i="34" s="1"/>
  <c r="F15" i="34"/>
  <c r="AC28" i="35"/>
  <c r="W28" i="35"/>
  <c r="J20" i="35"/>
  <c r="AC20" i="35" s="1"/>
  <c r="E72" i="35"/>
  <c r="F72" i="35" s="1"/>
  <c r="G72" i="35" s="1"/>
  <c r="H22" i="35"/>
  <c r="AB22" i="35" s="1"/>
  <c r="H23" i="35"/>
  <c r="F23" i="35"/>
  <c r="AA23" i="35" s="1"/>
  <c r="AB36" i="35"/>
  <c r="U36" i="35"/>
  <c r="AC12" i="36"/>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391" i="3"/>
  <c r="AZ403" i="3"/>
  <c r="AZ415" i="3"/>
  <c r="AZ431" i="3"/>
  <c r="AZ439" i="3"/>
  <c r="AZ454" i="3"/>
  <c r="B41" i="1"/>
  <c r="J42" i="40"/>
  <c r="AC42" i="40" s="1"/>
  <c r="J40" i="40"/>
  <c r="AC40" i="40" s="1"/>
  <c r="J34" i="40"/>
  <c r="AC34" i="40" s="1"/>
  <c r="H16" i="40"/>
  <c r="AB16" i="40" s="1"/>
  <c r="H14" i="40"/>
  <c r="F32" i="40"/>
  <c r="AA32" i="40" s="1"/>
  <c r="AZ401"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8" i="3"/>
  <c r="AZ56" i="3"/>
  <c r="AZ63" i="3"/>
  <c r="AZ71" i="3"/>
  <c r="AZ79" i="3"/>
  <c r="AZ91" i="3"/>
  <c r="AZ99" i="3"/>
  <c r="AZ107" i="3"/>
  <c r="AZ112" i="3"/>
  <c r="J13" i="40"/>
  <c r="W40" i="40"/>
  <c r="F27" i="43"/>
  <c r="F71" i="9"/>
  <c r="W35" i="40"/>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H100" i="40"/>
  <c r="I100" i="40" s="1"/>
  <c r="J100" i="40" s="1"/>
  <c r="K100" i="40" s="1"/>
  <c r="L100" i="40" s="1"/>
  <c r="M100" i="40" s="1"/>
  <c r="AB38" i="34"/>
  <c r="AZ497" i="3"/>
  <c r="AZ515" i="3"/>
  <c r="AZ530" i="3"/>
  <c r="AZ547" i="3"/>
  <c r="AZ549" i="3"/>
  <c r="AA29" i="35"/>
  <c r="U39" i="39"/>
  <c r="J29" i="39"/>
  <c r="AC29" i="39" s="1"/>
  <c r="AB21" i="39"/>
  <c r="U21" i="39"/>
  <c r="AA11" i="36"/>
  <c r="AA14" i="35"/>
  <c r="S14" i="35"/>
  <c r="U46" i="34"/>
  <c r="AC30" i="34"/>
  <c r="AA14" i="34"/>
  <c r="W12" i="34"/>
  <c r="U29" i="33"/>
  <c r="AC13" i="33"/>
  <c r="U17" i="34"/>
  <c r="W32" i="33"/>
  <c r="H15" i="33"/>
  <c r="U15" i="33" s="1"/>
  <c r="AA11" i="33"/>
  <c r="AA40" i="21"/>
  <c r="U17" i="21"/>
  <c r="U16" i="40"/>
  <c r="W34" i="40"/>
  <c r="AB34" i="40"/>
  <c r="AB42" i="40"/>
  <c r="U42" i="40"/>
  <c r="AC16" i="40"/>
  <c r="W32" i="40"/>
  <c r="H25" i="40"/>
  <c r="AB25" i="40" s="1"/>
  <c r="F94" i="40"/>
  <c r="G94" i="40" s="1"/>
  <c r="U47" i="39"/>
  <c r="J37" i="34"/>
  <c r="AC37" i="34" s="1"/>
  <c r="J36" i="33"/>
  <c r="W36" i="33" s="1"/>
  <c r="AB23" i="40"/>
  <c r="J23" i="39"/>
  <c r="AC23" i="39" s="1"/>
  <c r="S16" i="39"/>
  <c r="S15" i="34"/>
  <c r="AA15" i="34"/>
  <c r="AA34" i="33"/>
  <c r="G106" i="33"/>
  <c r="H106" i="33" s="1"/>
  <c r="I106" i="33" s="1"/>
  <c r="J106" i="33" s="1"/>
  <c r="K106" i="33" s="1"/>
  <c r="L106" i="33" s="1"/>
  <c r="M106" i="33" s="1"/>
  <c r="J34" i="33"/>
  <c r="AC34" i="33" s="1"/>
  <c r="U30" i="40"/>
  <c r="AA37" i="39"/>
  <c r="W29" i="35"/>
  <c r="W39" i="39"/>
  <c r="S39" i="39"/>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U40" i="21"/>
  <c r="AC16" i="35"/>
  <c r="J11" i="34"/>
  <c r="W11" i="34" s="1"/>
  <c r="F25" i="40"/>
  <c r="AA25" i="40" s="1"/>
  <c r="J11" i="33"/>
  <c r="W11" i="33" s="1"/>
  <c r="H33" i="37"/>
  <c r="AB33" i="37" s="1"/>
  <c r="W15" i="34"/>
  <c r="AC15" i="34"/>
  <c r="U20" i="35"/>
  <c r="W23" i="40"/>
  <c r="D73" i="9"/>
  <c r="N73" i="9" s="1"/>
  <c r="AP11" i="1"/>
  <c r="J51" i="15"/>
  <c r="B11" i="1"/>
  <c r="E11" i="1" s="1"/>
  <c r="K11" i="1"/>
  <c r="M11" i="1" s="1"/>
  <c r="B9" i="1"/>
  <c r="E9" i="1" s="1"/>
  <c r="B7" i="1"/>
  <c r="E7" i="1" s="1"/>
  <c r="K7" i="1"/>
  <c r="M7" i="1" s="1"/>
  <c r="O7" i="1" s="1"/>
  <c r="P7" i="1" s="1"/>
  <c r="C20" i="43"/>
  <c r="E2" i="65"/>
  <c r="AC36" i="33" l="1"/>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3" i="21"/>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B65" i="63"/>
  <c r="A14" i="55"/>
  <c r="F7" i="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S23" i="39"/>
  <c r="AB19" i="39"/>
  <c r="F91" i="39"/>
  <c r="J17" i="39"/>
  <c r="W17" i="39" s="1"/>
  <c r="H17" i="39"/>
  <c r="U17" i="39" s="1"/>
  <c r="W15" i="39"/>
  <c r="W14" i="39"/>
  <c r="F9" i="12"/>
  <c r="K9" i="1"/>
  <c r="E32" i="6"/>
  <c r="C9" i="12"/>
  <c r="E21" i="6"/>
  <c r="BA21" i="3"/>
  <c r="AZ21" i="3" s="1"/>
  <c r="BA22" i="3"/>
  <c r="AZ22" i="3" s="1"/>
  <c r="BA23" i="3"/>
  <c r="AZ23" i="3" s="1"/>
  <c r="BA24" i="3"/>
  <c r="BA26" i="3"/>
  <c r="BA37" i="3"/>
  <c r="BL37" i="3"/>
  <c r="F72" i="9"/>
  <c r="F66" i="9"/>
  <c r="P72" i="9" s="1"/>
  <c r="BL24" i="3"/>
  <c r="AZ24" i="3" s="1"/>
  <c r="BL26" i="3"/>
  <c r="BA28" i="3"/>
  <c r="BL28" i="3"/>
  <c r="BA30" i="3"/>
  <c r="BL30" i="3"/>
  <c r="BA32" i="3"/>
  <c r="BL32" i="3"/>
  <c r="BA34" i="3"/>
  <c r="AZ34" i="3" s="1"/>
  <c r="BL34" i="3"/>
  <c r="AZ35" i="3"/>
  <c r="BL36" i="3"/>
  <c r="BA38" i="3"/>
  <c r="BL38" i="3"/>
  <c r="BA40" i="3"/>
  <c r="BL40" i="3"/>
  <c r="BA42" i="3"/>
  <c r="AZ42" i="3" s="1"/>
  <c r="BA25" i="3"/>
  <c r="BA27" i="3"/>
  <c r="AZ27" i="3" s="1"/>
  <c r="BA29" i="3"/>
  <c r="BA31" i="3"/>
  <c r="BA33" i="3"/>
  <c r="BA39" i="3"/>
  <c r="BL25" i="3"/>
  <c r="BL27" i="3"/>
  <c r="BL29" i="3"/>
  <c r="BL33" i="3"/>
  <c r="BL39" i="3"/>
  <c r="BL31" i="3"/>
  <c r="AZ31" i="3" s="1"/>
  <c r="AZ26" i="3"/>
  <c r="AZ28" i="3"/>
  <c r="AZ36" i="3"/>
  <c r="AZ32" i="3"/>
  <c r="AZ39"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O13" i="1"/>
  <c r="P13" i="1" s="1"/>
  <c r="K10" i="1"/>
  <c r="S11" i="1"/>
  <c r="R11" i="1"/>
  <c r="S13" i="1"/>
  <c r="R13" i="1"/>
  <c r="B6" i="1"/>
  <c r="E6" i="1" s="1"/>
  <c r="B10" i="1"/>
  <c r="E10" i="1" s="1"/>
  <c r="B8" i="1"/>
  <c r="E8" i="1" s="1"/>
  <c r="B12" i="1"/>
  <c r="E12" i="1" s="1"/>
  <c r="S12" i="1"/>
  <c r="K6" i="1"/>
  <c r="M6" i="1" s="1"/>
  <c r="C15" i="43"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45" i="44"/>
  <c r="M29" i="70"/>
  <c r="J17" i="44"/>
  <c r="F38" i="15"/>
  <c r="M27" i="15"/>
  <c r="F10" i="44"/>
  <c r="F43" i="44"/>
  <c r="F43" i="70"/>
  <c r="F40" i="44"/>
  <c r="M22" i="15"/>
  <c r="M29" i="44"/>
  <c r="M23" i="15"/>
  <c r="M10" i="44"/>
  <c r="F11" i="44"/>
  <c r="F6" i="15"/>
  <c r="M8" i="15"/>
  <c r="F39" i="44"/>
  <c r="M11" i="44"/>
  <c r="M24" i="44"/>
  <c r="F15" i="44"/>
  <c r="M30" i="44"/>
  <c r="F28" i="44"/>
  <c r="M6" i="15"/>
  <c r="F40" i="15"/>
  <c r="L49" i="44"/>
  <c r="L48" i="44"/>
  <c r="F42" i="15"/>
  <c r="L47" i="15"/>
  <c r="M29" i="69"/>
  <c r="M29" i="15"/>
  <c r="M26" i="44"/>
  <c r="F38" i="44"/>
  <c r="F43" i="69"/>
  <c r="M25" i="44"/>
  <c r="F8" i="15"/>
  <c r="F26" i="15"/>
  <c r="M28" i="44"/>
  <c r="F9" i="44"/>
  <c r="J15" i="15"/>
  <c r="F37" i="15"/>
  <c r="F8" i="44"/>
  <c r="F9" i="15"/>
  <c r="M31" i="44"/>
  <c r="F18" i="44"/>
  <c r="M8" i="44"/>
  <c r="F7" i="15"/>
  <c r="F7" i="69"/>
  <c r="F13" i="15"/>
  <c r="AZ33" i="3" l="1"/>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F70" i="70"/>
  <c r="F49" i="69"/>
  <c r="M7" i="69"/>
  <c r="F70" i="69"/>
  <c r="M9" i="1"/>
  <c r="AO9" i="1"/>
  <c r="M10" i="1"/>
  <c r="O10" i="1" s="1"/>
  <c r="P10" i="1" s="1"/>
  <c r="K8" i="1"/>
  <c r="E9" i="12"/>
  <c r="F24" i="69"/>
  <c r="C24" i="69" s="1"/>
  <c r="F24" i="71"/>
  <c r="F24" i="70"/>
  <c r="AB11" i="46"/>
  <c r="AB13" i="46" s="1"/>
  <c r="G6" i="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37" i="9" s="1"/>
  <c r="E37" i="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G33" i="46"/>
  <c r="I33" i="46" s="1"/>
  <c r="C37" i="46"/>
  <c r="G37" i="46" s="1"/>
  <c r="I37" i="46" s="1"/>
  <c r="Q16" i="1"/>
  <c r="F18" i="11" s="1"/>
  <c r="C18" i="11" s="1"/>
  <c r="C19" i="11" s="1"/>
  <c r="AP16" i="1"/>
  <c r="F22" i="11" s="1"/>
  <c r="E4" i="4"/>
  <c r="C4" i="4"/>
  <c r="F64" i="15"/>
  <c r="C27" i="15"/>
  <c r="F50" i="15"/>
  <c r="F67" i="15"/>
  <c r="M7" i="15"/>
  <c r="F49" i="15"/>
  <c r="C6" i="15"/>
  <c r="C10" i="15" s="1"/>
  <c r="F65" i="15"/>
  <c r="G66" i="36"/>
  <c r="J18" i="36"/>
  <c r="AE6" i="1"/>
  <c r="F33" i="44"/>
  <c r="M17" i="15"/>
  <c r="F31" i="15"/>
  <c r="F58" i="15"/>
  <c r="M19" i="44"/>
  <c r="M23" i="69"/>
  <c r="J36" i="71"/>
  <c r="J15" i="71"/>
  <c r="M28" i="70"/>
  <c r="M27" i="70"/>
  <c r="M26" i="69"/>
  <c r="F42" i="71"/>
  <c r="L48" i="71"/>
  <c r="F8" i="70"/>
  <c r="M6" i="70"/>
  <c r="C18" i="44"/>
  <c r="L48" i="70"/>
  <c r="F43" i="71"/>
  <c r="M22" i="69"/>
  <c r="M28" i="71"/>
  <c r="F36" i="71"/>
  <c r="L47" i="70"/>
  <c r="M24" i="70"/>
  <c r="F36" i="69"/>
  <c r="F8" i="71"/>
  <c r="L48" i="15"/>
  <c r="F46" i="44"/>
  <c r="M8" i="69"/>
  <c r="L47" i="71"/>
  <c r="F40" i="71"/>
  <c r="F7" i="70"/>
  <c r="F37" i="70"/>
  <c r="J15" i="69"/>
  <c r="M24" i="69"/>
  <c r="M9" i="71"/>
  <c r="F43" i="15"/>
  <c r="F36" i="70"/>
  <c r="AE7" i="1"/>
  <c r="M24" i="15"/>
  <c r="M29" i="71"/>
  <c r="M27" i="69"/>
  <c r="F9" i="71"/>
  <c r="M6" i="71"/>
  <c r="F36" i="15"/>
  <c r="F16" i="70"/>
  <c r="F38" i="69"/>
  <c r="M28" i="69"/>
  <c r="M23" i="71"/>
  <c r="M9" i="70"/>
  <c r="M22" i="71"/>
  <c r="M8" i="70"/>
  <c r="M23" i="70"/>
  <c r="F8" i="69"/>
  <c r="F13" i="71"/>
  <c r="M9" i="15"/>
  <c r="M26" i="70"/>
  <c r="F16" i="71"/>
  <c r="M6" i="69"/>
  <c r="F13" i="69"/>
  <c r="F6" i="71"/>
  <c r="J36" i="15"/>
  <c r="F13" i="70"/>
  <c r="F9" i="69"/>
  <c r="M9" i="69"/>
  <c r="F38" i="71"/>
  <c r="M28" i="15"/>
  <c r="J15" i="70"/>
  <c r="F7" i="71"/>
  <c r="M24" i="71"/>
  <c r="F26" i="70"/>
  <c r="F26" i="69"/>
  <c r="F42" i="69"/>
  <c r="F37" i="71"/>
  <c r="M26" i="15"/>
  <c r="F40" i="70"/>
  <c r="L47" i="69"/>
  <c r="F16" i="69"/>
  <c r="M8" i="71"/>
  <c r="M22" i="70"/>
  <c r="L48" i="69"/>
  <c r="J36" i="69"/>
  <c r="F26" i="71"/>
  <c r="F16" i="15"/>
  <c r="J36" i="70"/>
  <c r="F6" i="70"/>
  <c r="F40" i="69"/>
  <c r="M27" i="71"/>
  <c r="F38" i="70"/>
  <c r="M26" i="71"/>
  <c r="F37" i="69"/>
  <c r="F42" i="70"/>
  <c r="F6" i="69"/>
  <c r="F9" i="70"/>
  <c r="C27" i="70" l="1"/>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C48" i="69" s="1"/>
  <c r="C47" i="69" s="1"/>
  <c r="C59" i="69" s="1"/>
  <c r="J6" i="69"/>
  <c r="J5" i="69" s="1"/>
  <c r="J26" i="69" s="1"/>
  <c r="AA17" i="39"/>
  <c r="S17" i="39"/>
  <c r="F49" i="71"/>
  <c r="M7" i="71"/>
  <c r="J6" i="71" s="1"/>
  <c r="J5" i="71" s="1"/>
  <c r="C6" i="71"/>
  <c r="C10" i="71" s="1"/>
  <c r="C5" i="71" s="1"/>
  <c r="F70" i="71"/>
  <c r="O9" i="1"/>
  <c r="P9" i="1" s="1"/>
  <c r="M8" i="1"/>
  <c r="C24" i="71"/>
  <c r="C24" i="70"/>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B38" i="9" s="1"/>
  <c r="E38" i="9" s="1"/>
  <c r="E39" i="9" s="1"/>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2" i="15"/>
  <c r="Q53" i="15"/>
  <c r="C48" i="15"/>
  <c r="AB12" i="39"/>
  <c r="C20" i="11"/>
  <c r="C21" i="11" s="1"/>
  <c r="C22" i="11" s="1"/>
  <c r="C23" i="11" s="1"/>
  <c r="B2" i="11" s="1"/>
  <c r="AC12" i="40"/>
  <c r="W12" i="40"/>
  <c r="E46" i="37"/>
  <c r="F46" i="37" s="1"/>
  <c r="C48" i="33"/>
  <c r="C49" i="33"/>
  <c r="B3" i="33" s="1"/>
  <c r="B2" i="33" s="1"/>
  <c r="F41" i="15"/>
  <c r="C16" i="69"/>
  <c r="L52" i="44"/>
  <c r="C16" i="15"/>
  <c r="C16" i="70"/>
  <c r="F7" i="67"/>
  <c r="C16" i="71"/>
  <c r="J18" i="69" l="1"/>
  <c r="C48" i="71"/>
  <c r="C47" i="71" s="1"/>
  <c r="C65" i="71" s="1"/>
  <c r="Q61" i="15"/>
  <c r="J24" i="69"/>
  <c r="C32" i="69"/>
  <c r="C65"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F68" i="15"/>
  <c r="O8" i="1"/>
  <c r="P8" i="1" s="1"/>
  <c r="J24" i="71"/>
  <c r="J26" i="71"/>
  <c r="J18" i="71"/>
  <c r="C38" i="71"/>
  <c r="C32" i="71"/>
  <c r="C59"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C32" i="15"/>
  <c r="C38" i="15"/>
  <c r="J20" i="44"/>
  <c r="J26" i="44"/>
  <c r="B3" i="11"/>
  <c r="C17" i="71"/>
  <c r="C19" i="44"/>
  <c r="E7" i="67"/>
  <c r="C17" i="70"/>
  <c r="C17" i="15"/>
  <c r="AE10" i="1"/>
  <c r="C17" i="69"/>
  <c r="AE8" i="1"/>
  <c r="C65" i="70" l="1"/>
  <c r="C59" i="70"/>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F41" i="69"/>
  <c r="J29" i="69" l="1"/>
  <c r="F68" i="69"/>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C14" i="70"/>
  <c r="M21" i="70"/>
  <c r="F35" i="70"/>
  <c r="C16" i="44"/>
  <c r="C14" i="71"/>
  <c r="C14" i="69"/>
  <c r="J20" i="70" l="1"/>
  <c r="C34" i="70"/>
  <c r="F62" i="70"/>
  <c r="C61" i="70"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M23" i="44"/>
  <c r="M21" i="71"/>
  <c r="F35" i="15"/>
  <c r="F35" i="69"/>
  <c r="M21" i="69"/>
  <c r="F37" i="44"/>
  <c r="F35" i="71"/>
  <c r="C19" i="71" l="1"/>
  <c r="C19" i="70"/>
  <c r="C19" i="69"/>
  <c r="C20" i="69" s="1"/>
  <c r="C26" i="69" s="1"/>
  <c r="J20" i="71"/>
  <c r="F62" i="71"/>
  <c r="C61" i="71" s="1"/>
  <c r="C34" i="71"/>
  <c r="C34" i="69"/>
  <c r="F62" i="69"/>
  <c r="C61" i="69" s="1"/>
  <c r="J20" i="69"/>
  <c r="C20" i="70"/>
  <c r="C26" i="70" s="1"/>
  <c r="C20" i="71"/>
  <c r="C26" i="71" s="1"/>
  <c r="Q67" i="70"/>
  <c r="Q58" i="70"/>
  <c r="Q67" i="71"/>
  <c r="Q58" i="71"/>
  <c r="C21" i="44"/>
  <c r="C22" i="44" s="1"/>
  <c r="C25" i="44" s="1"/>
  <c r="C19" i="15"/>
  <c r="C20" i="15" s="1"/>
  <c r="C23" i="15" s="1"/>
  <c r="J20" i="15"/>
  <c r="C36" i="44"/>
  <c r="C34" i="15"/>
  <c r="F62" i="15"/>
  <c r="C61" i="15" s="1"/>
  <c r="J22" i="44"/>
  <c r="C18" i="12"/>
  <c r="R16" i="1"/>
  <c r="D31" i="6"/>
  <c r="I6" i="6" s="1"/>
  <c r="I7" i="6" s="1"/>
  <c r="R27" i="6"/>
  <c r="C18" i="43"/>
  <c r="K70" i="39"/>
  <c r="J72" i="39"/>
  <c r="K65" i="40"/>
  <c r="J67" i="40"/>
  <c r="C65" i="15"/>
  <c r="C59" i="15"/>
  <c r="F13" i="39" l="1"/>
  <c r="J13" i="39"/>
  <c r="H13" i="39"/>
  <c r="C23" i="70"/>
  <c r="C29" i="70" s="1"/>
  <c r="C33" i="70" s="1"/>
  <c r="C31"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AC13" i="39" l="1"/>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40" i="69" s="1"/>
  <c r="C55" i="69"/>
  <c r="C64" i="69" s="1"/>
  <c r="J35" i="69"/>
  <c r="C37" i="71"/>
  <c r="C30" i="71" s="1"/>
  <c r="C39" i="71" s="1"/>
  <c r="Q71" i="71"/>
  <c r="J35" i="71"/>
  <c r="C55" i="71"/>
  <c r="C64" i="71" s="1"/>
  <c r="C63" i="71"/>
  <c r="C60" i="71"/>
  <c r="C58" i="71" s="1"/>
  <c r="J13" i="71"/>
  <c r="J23" i="71" s="1"/>
  <c r="J22" i="7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L51" i="71"/>
  <c r="L51" i="69"/>
  <c r="J39" i="71" l="1"/>
  <c r="J40" i="71" s="1"/>
  <c r="Q70" i="69"/>
  <c r="Q69" i="69" s="1"/>
  <c r="C57" i="70"/>
  <c r="C66" i="70" s="1"/>
  <c r="Q70" i="70"/>
  <c r="Q69" i="70" s="1"/>
  <c r="J39" i="70"/>
  <c r="J40" i="70" s="1"/>
  <c r="Q68" i="70"/>
  <c r="J39" i="69"/>
  <c r="J40" i="69" s="1"/>
  <c r="C57" i="69"/>
  <c r="C66" i="69" s="1"/>
  <c r="C67" i="69" s="1"/>
  <c r="C70" i="69" s="1"/>
  <c r="Q68" i="69"/>
  <c r="J16" i="71"/>
  <c r="J25" i="71" s="1"/>
  <c r="C57" i="71"/>
  <c r="C66" i="71" s="1"/>
  <c r="Q68" i="71"/>
  <c r="Q57" i="69"/>
  <c r="Q63" i="69" s="1"/>
  <c r="Q48" i="69"/>
  <c r="Q54" i="69" s="1"/>
  <c r="C43" i="69"/>
  <c r="Q66" i="69"/>
  <c r="Q76" i="69" s="1"/>
  <c r="B2" i="69"/>
  <c r="J42" i="69"/>
  <c r="J43" i="69" s="1"/>
  <c r="Q70" i="71"/>
  <c r="Q69" i="7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B3" i="69" l="1"/>
  <c r="G8" i="12" s="1"/>
  <c r="G10" i="12"/>
  <c r="C46" i="69"/>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46" i="15" l="1"/>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15" l="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C46" i="9" l="1"/>
  <c r="F41" i="71"/>
  <c r="AE9" i="1"/>
  <c r="K33" i="9" l="1"/>
  <c r="F46" i="9"/>
  <c r="I14" i="66"/>
  <c r="B8" i="66" s="1"/>
  <c r="D46" i="9"/>
  <c r="O41" i="9"/>
  <c r="R8" i="54" s="1"/>
  <c r="B54" i="63" s="1"/>
  <c r="E46" i="9"/>
  <c r="J29" i="71"/>
  <c r="C40" i="71"/>
  <c r="F68" i="71"/>
  <c r="C67" i="71" s="1"/>
  <c r="F41" i="70"/>
  <c r="J29" i="70" l="1"/>
  <c r="F68" i="70"/>
  <c r="C67" i="70" s="1"/>
  <c r="C70" i="70" s="1"/>
  <c r="C40" i="70"/>
  <c r="C43" i="70" s="1"/>
  <c r="C8" i="66"/>
  <c r="D8" i="66"/>
  <c r="K34" i="9"/>
  <c r="E10" i="12"/>
  <c r="B2" i="71"/>
  <c r="B3" i="71" s="1"/>
  <c r="C43" i="71"/>
  <c r="E8" i="12" s="1"/>
  <c r="Q48" i="71"/>
  <c r="Q54" i="71" s="1"/>
  <c r="Q57" i="71"/>
  <c r="Q63" i="71" s="1"/>
  <c r="J42" i="71"/>
  <c r="J43" i="71" s="1"/>
  <c r="Q66" i="71"/>
  <c r="Q76" i="71" s="1"/>
  <c r="C70" i="71"/>
  <c r="C46" i="71"/>
  <c r="C46" i="70" l="1"/>
  <c r="B2" i="70"/>
  <c r="F10" i="12" s="1"/>
  <c r="C6" i="12" s="1"/>
  <c r="Q57" i="70"/>
  <c r="Q63" i="70" s="1"/>
  <c r="J42" i="70"/>
  <c r="J43" i="70" s="1"/>
  <c r="Q48" i="70"/>
  <c r="Q54" i="70" s="1"/>
  <c r="Q66" i="70"/>
  <c r="Q76" i="70" s="1"/>
  <c r="D45" i="70"/>
  <c r="B3" i="70" l="1"/>
  <c r="F8" i="12" s="1"/>
  <c r="L12" i="12" s="1"/>
  <c r="C29" i="12"/>
  <c r="C24" i="12"/>
  <c r="C35" i="12" l="1"/>
  <c r="C33" i="12" s="1"/>
  <c r="C28" i="12"/>
  <c r="C26" i="12" s="1"/>
  <c r="C31" i="12" s="1"/>
  <c r="C30" i="12" s="1"/>
  <c r="C36" i="12" l="1"/>
  <c r="B2" i="12" s="1"/>
  <c r="B5" i="12" s="1"/>
  <c r="D19" i="9"/>
  <c r="B4" i="12" l="1"/>
  <c r="L44" i="9"/>
  <c r="G19" i="9"/>
  <c r="D22" i="9"/>
  <c r="B3" i="12"/>
  <c r="D20" i="9"/>
  <c r="D21" i="9"/>
  <c r="D27" i="9" l="1"/>
  <c r="D28" i="9"/>
  <c r="G22" i="9"/>
  <c r="G48" i="9"/>
  <c r="N43" i="9"/>
  <c r="C32" i="9"/>
  <c r="C42" i="9" s="1"/>
  <c r="G21" i="9"/>
  <c r="G20" i="9"/>
  <c r="C35" i="9" l="1"/>
  <c r="F42" i="9" s="1"/>
  <c r="C34" i="9"/>
  <c r="E42" i="9" s="1"/>
  <c r="P5" i="54" s="1"/>
  <c r="B46" i="63" s="1"/>
  <c r="C33" i="9"/>
  <c r="N38" i="9" s="1"/>
  <c r="K28" i="9" s="1"/>
  <c r="O38" i="9"/>
  <c r="K26" i="9" s="1"/>
  <c r="O43" i="9"/>
  <c r="M38" i="9"/>
  <c r="K27" i="9" s="1"/>
  <c r="C44" i="9"/>
  <c r="R5" i="54"/>
  <c r="B48" i="63" s="1"/>
  <c r="N68" i="9"/>
  <c r="D14" i="66"/>
  <c r="D63" i="9"/>
  <c r="D42" i="9" l="1"/>
  <c r="Q5" i="54" s="1"/>
  <c r="B47" i="63" s="1"/>
  <c r="K25" i="9"/>
  <c r="F14" i="66"/>
  <c r="E14" i="66"/>
  <c r="C111" i="9"/>
  <c r="C104" i="9" s="1"/>
  <c r="D71" i="9"/>
  <c r="D66" i="9" s="1"/>
  <c r="N72" i="9" s="1"/>
  <c r="C103" i="9"/>
  <c r="C113" i="9" s="1"/>
  <c r="D70" i="9"/>
  <c r="C96" i="9"/>
  <c r="C91" i="9" s="1"/>
  <c r="D77" i="9"/>
  <c r="N75" i="9" s="1"/>
  <c r="C90" i="9"/>
  <c r="C97" i="9" s="1"/>
  <c r="C82" i="9"/>
  <c r="C81" i="9" s="1"/>
  <c r="C85" i="9" s="1"/>
  <c r="C86" i="9" s="1"/>
  <c r="D72" i="9" s="1"/>
  <c r="N69" i="9"/>
  <c r="F44" i="9"/>
  <c r="G14" i="66"/>
  <c r="D44" i="9"/>
  <c r="O39" i="9"/>
  <c r="E44" i="9"/>
  <c r="K29" i="9" l="1"/>
  <c r="K30" i="9" s="1"/>
  <c r="R6" i="54"/>
  <c r="B50" i="63" s="1"/>
  <c r="M84" i="9"/>
  <c r="N84" i="9" s="1"/>
  <c r="M83" i="9"/>
  <c r="N83" i="9" s="1"/>
  <c r="M88" i="9"/>
  <c r="N88" i="9" s="1"/>
  <c r="M87" i="9"/>
  <c r="N87" i="9" s="1"/>
  <c r="M86" i="9"/>
  <c r="N86" i="9" s="1"/>
  <c r="M85" i="9"/>
  <c r="N85" i="9" s="1"/>
  <c r="C98" i="9"/>
  <c r="E98" i="9" s="1"/>
  <c r="E99" i="9" s="1"/>
  <c r="C114" i="9"/>
  <c r="E114" i="9" s="1"/>
  <c r="E115" i="9" s="1"/>
  <c r="C115" i="9" l="1"/>
  <c r="D76" i="9" s="1"/>
  <c r="D74" i="9" s="1"/>
  <c r="N74" i="9" s="1"/>
  <c r="O77" i="9" s="1"/>
  <c r="Q77" i="9" s="1"/>
  <c r="C99" i="9"/>
  <c r="N89" i="9"/>
  <c r="O89" i="9" s="1"/>
  <c r="O79" i="9" l="1"/>
  <c r="O80" i="9" s="1"/>
  <c r="O78" i="9"/>
  <c r="O81" i="9"/>
  <c r="D15" i="66" l="1"/>
  <c r="G15" i="66"/>
  <c r="B6" i="66" s="1"/>
  <c r="D6" i="66" l="1"/>
  <c r="C6" i="66"/>
  <c r="E15" i="66"/>
  <c r="F15" i="66"/>
  <c r="B5" i="66"/>
  <c r="D5" i="66" l="1"/>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<sst xmlns="http://schemas.openxmlformats.org/spreadsheetml/2006/main" count="8426" uniqueCount="3194">
  <si>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</si>
  <si>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</si>
  <si>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</si>
  <si>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</si>
  <si>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</si>
  <si>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</si>
  <si>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</si>
  <si>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</si>
  <si>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</si>
  <si>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</si>
  <si>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</si>
  <si>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</si>
  <si>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</si>
  <si>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</si>
  <si>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</si>
  <si>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</si>
  <si>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</si>
  <si>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</si>
  <si>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</si>
  <si>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</si>
  <si>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</si>
  <si>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</si>
  <si>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</si>
  <si>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</si>
  <si>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</si>
  <si>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</si>
  <si>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</si>
  <si>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</si>
  <si>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</si>
  <si>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</si>
  <si>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</si>
  <si>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</si>
  <si>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</si>
  <si>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</si>
  <si>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</si>
  <si>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</si>
  <si>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</si>
  <si>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</si>
  <si>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</si>
  <si>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</si>
  <si>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</si>
  <si>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</si>
  <si>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</si>
  <si>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</si>
  <si>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</si>
  <si>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</si>
  <si>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</si>
  <si>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</si>
  <si>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</si>
  <si>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</si>
  <si>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</si>
  <si>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</si>
  <si>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</si>
  <si>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</si>
  <si>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</si>
  <si>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</si>
  <si>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</si>
  <si>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</si>
  <si>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</si>
  <si>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</si>
  <si>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</si>
  <si>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</si>
  <si>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</si>
  <si>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</si>
  <si>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</si>
  <si>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</si>
  <si>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</si>
  <si>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</si>
  <si>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</si>
  <si>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</si>
  <si>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</si>
  <si>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</si>
  <si>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</si>
  <si>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</si>
  <si>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</si>
  <si>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</si>
  <si>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</si>
  <si>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</si>
  <si>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</si>
  <si>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</si>
  <si>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</si>
  <si>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</si>
  <si>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</si>
  <si>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</si>
  <si>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</si>
  <si>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</si>
  <si>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</si>
  <si>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</si>
  <si>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</si>
  <si>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</si>
  <si>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</si>
  <si>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</si>
  <si>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</si>
  <si>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</si>
  <si>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</si>
  <si>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</si>
  <si>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</si>
  <si>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</si>
  <si>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</si>
  <si>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</si>
  <si>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</si>
  <si>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</si>
  <si>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</si>
  <si>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</si>
  <si>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</si>
  <si>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</si>
  <si>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</si>
  <si>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</si>
  <si>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</si>
  <si>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</si>
  <si>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</si>
  <si>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</si>
  <si>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</si>
  <si>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</si>
  <si>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</si>
  <si>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</si>
  <si>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</si>
  <si>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</si>
  <si>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</si>
  <si>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</si>
  <si>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</si>
  <si>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</si>
  <si>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</si>
  <si>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</si>
  <si>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</si>
  <si>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</si>
  <si>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</si>
  <si>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</si>
  <si>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</si>
  <si>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</si>
  <si>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</si>
  <si>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</si>
  <si>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</si>
  <si>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</si>
  <si>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</si>
  <si>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</si>
  <si>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</si>
  <si>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</si>
  <si>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</si>
  <si>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</si>
  <si>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</si>
  <si>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</si>
  <si>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</si>
  <si>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</si>
  <si>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</si>
  <si>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</si>
  <si>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</si>
  <si>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</si>
  <si>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</si>
  <si>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</si>
  <si>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</si>
  <si>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</si>
  <si>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</si>
  <si>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</si>
  <si>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</si>
  <si>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</si>
  <si>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</si>
  <si>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</si>
  <si>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</si>
  <si>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</si>
  <si>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</si>
  <si>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</si>
  <si>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</si>
  <si>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</si>
  <si>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</si>
  <si>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</si>
  <si>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</si>
  <si>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</si>
  <si>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</si>
  <si>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</si>
  <si>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</si>
  <si>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</si>
  <si>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</si>
  <si>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</si>
  <si>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</si>
  <si>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</si>
  <si>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</si>
  <si>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</si>
  <si>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</si>
  <si>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</si>
  <si>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</si>
  <si>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</si>
  <si>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</si>
  <si>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</si>
  <si>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</si>
  <si>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</si>
  <si>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</si>
  <si>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</si>
  <si>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</si>
  <si>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</si>
  <si>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</si>
  <si>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</si>
  <si>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</si>
  <si>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</si>
  <si>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</si>
  <si>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</si>
  <si>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</si>
  <si>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</si>
  <si>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</si>
  <si>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</si>
  <si>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</si>
  <si>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</si>
  <si>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</si>
  <si>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</si>
  <si>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</si>
  <si>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</si>
  <si>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</si>
  <si>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</si>
  <si>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</si>
  <si>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</si>
  <si>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</si>
  <si>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</si>
  <si>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</si>
  <si>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</si>
  <si>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</si>
  <si>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</si>
  <si>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</si>
  <si>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</si>
  <si>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</si>
  <si>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</si>
  <si>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</si>
  <si>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</si>
  <si>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</si>
  <si>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</si>
  <si>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</si>
  <si>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</si>
  <si>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</si>
  <si>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</si>
  <si>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</si>
  <si>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</si>
  <si>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</si>
  <si>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</si>
  <si>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</si>
  <si>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</si>
  <si>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</si>
  <si>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</si>
  <si>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</si>
  <si>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</si>
  <si>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</si>
  <si>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</si>
  <si>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</si>
  <si>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</si>
  <si>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</si>
  <si>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</si>
  <si>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</si>
  <si>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</si>
  <si>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</si>
  <si>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</si>
  <si>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</si>
  <si>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</si>
  <si>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</si>
  <si>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</si>
  <si>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</si>
  <si>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</si>
  <si>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</si>
  <si>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</si>
  <si>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</si>
  <si>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</si>
  <si>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</si>
  <si>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</si>
  <si>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</si>
  <si>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</si>
  <si>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</si>
  <si>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</si>
  <si>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</si>
  <si>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</si>
  <si>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</si>
  <si>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</si>
  <si>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</si>
  <si>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</si>
  <si>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</si>
  <si>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</si>
  <si>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</si>
  <si>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</si>
  <si>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</si>
  <si>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</si>
  <si>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</si>
  <si>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</si>
  <si>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</si>
  <si>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</si>
  <si>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</si>
  <si>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</si>
  <si>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</si>
  <si>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</si>
  <si>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</si>
  <si>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</si>
  <si>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</si>
  <si>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</si>
  <si>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</si>
  <si>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</si>
  <si>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</si>
  <si>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</si>
  <si>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</si>
  <si>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</si>
  <si>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</si>
  <si>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</si>
  <si>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</si>
  <si>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</si>
  <si>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</si>
  <si>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</si>
  <si>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</si>
  <si>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</si>
  <si>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</si>
  <si>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</si>
  <si>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</si>
  <si>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</si>
  <si>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</si>
  <si>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</si>
  <si>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</si>
  <si>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</si>
  <si>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</si>
  <si>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</si>
  <si>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</si>
  <si>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</si>
  <si>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</si>
  <si>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</si>
  <si>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</si>
  <si>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</si>
  <si>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</si>
  <si>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</si>
  <si>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</si>
  <si>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</si>
  <si>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</si>
  <si>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</si>
  <si>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</si>
  <si>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</si>
  <si>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</si>
  <si>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</si>
  <si>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</si>
  <si>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</si>
  <si>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</si>
  <si>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</si>
  <si>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</si>
  <si>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</si>
  <si>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</si>
  <si>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</si>
  <si>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</si>
  <si>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</si>
  <si>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</si>
  <si>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</si>
  <si>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</si>
  <si>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</si>
  <si>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</si>
  <si>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</si>
  <si>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</si>
  <si>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</si>
  <si>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</si>
  <si>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</si>
  <si>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</si>
  <si>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</si>
  <si>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</si>
  <si>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</si>
  <si>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</si>
  <si>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</si>
  <si>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</si>
  <si>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</si>
  <si>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</si>
  <si>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</si>
  <si>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</si>
  <si>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</si>
  <si>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</si>
  <si>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</si>
  <si>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</si>
  <si>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</si>
  <si>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</si>
  <si>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</si>
  <si>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</si>
  <si>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</si>
  <si>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</si>
  <si>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</si>
  <si>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</si>
  <si>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</si>
  <si>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</si>
  <si>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</si>
  <si>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</si>
  <si>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</si>
  <si>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</si>
  <si>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</si>
  <si>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</si>
  <si>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</si>
  <si>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</si>
  <si>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</si>
  <si>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</si>
  <si>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</si>
  <si>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</si>
  <si>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</si>
  <si>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</si>
  <si>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</si>
  <si>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</si>
  <si>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</si>
  <si>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</si>
  <si>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</si>
  <si>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</si>
  <si>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</si>
  <si>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</si>
  <si>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</si>
  <si>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</si>
  <si>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</si>
  <si>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</si>
  <si>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</si>
  <si>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</si>
  <si>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</si>
  <si>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</si>
  <si>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</si>
  <si>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</si>
  <si>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</si>
  <si>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</si>
  <si>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</si>
  <si>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</si>
  <si>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</si>
  <si>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</si>
  <si>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</si>
  <si>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</si>
  <si>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</si>
  <si>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</si>
  <si>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</si>
  <si>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</si>
  <si>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</si>
  <si>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</si>
  <si>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</si>
  <si>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</si>
  <si>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</si>
  <si>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</si>
  <si>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</si>
  <si>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</si>
  <si>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</si>
  <si>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</si>
  <si>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</si>
  <si>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</si>
  <si>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</si>
  <si>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</si>
  <si>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</si>
  <si>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</si>
  <si>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</si>
  <si>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</si>
  <si>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</si>
  <si>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</si>
  <si>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</si>
  <si>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</si>
  <si>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</si>
  <si>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</si>
  <si>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</si>
  <si>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</si>
  <si>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</si>
  <si>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</si>
  <si>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</si>
  <si>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</si>
  <si>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</si>
  <si>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</si>
  <si>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</si>
  <si>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</si>
  <si>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</si>
  <si>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</si>
  <si>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</si>
  <si>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</si>
  <si>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</si>
  <si>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</si>
  <si>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</si>
  <si>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</si>
  <si>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</si>
  <si>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</si>
  <si>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</si>
  <si>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</si>
  <si>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</si>
  <si>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</si>
  <si>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</si>
  <si>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</si>
  <si>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</si>
  <si>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</si>
  <si>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</si>
  <si>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</si>
  <si>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</si>
  <si>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</si>
  <si>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</si>
  <si>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</si>
  <si>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</si>
  <si>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</si>
  <si>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</si>
  <si>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</si>
  <si>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</si>
  <si>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</si>
  <si>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</si>
  <si>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</si>
  <si>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</si>
  <si>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</si>
  <si>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</si>
  <si>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</si>
  <si>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</si>
  <si>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</si>
  <si>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</si>
  <si>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</si>
  <si>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</si>
  <si>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</si>
  <si>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</si>
  <si>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</si>
  <si>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</si>
  <si>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</si>
  <si>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</si>
  <si>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</si>
  <si>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</si>
  <si>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</si>
  <si>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</si>
  <si>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</si>
  <si>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</si>
  <si>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</si>
  <si>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</si>
  <si>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</si>
  <si>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</si>
  <si>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</si>
  <si>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</si>
  <si>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</si>
  <si>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</si>
  <si>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</si>
  <si>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</si>
  <si>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</si>
  <si>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</si>
  <si>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</si>
  <si>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</si>
  <si>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</si>
  <si>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</si>
  <si>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</si>
  <si>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</si>
  <si>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</si>
  <si>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</si>
  <si>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</si>
  <si>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</si>
  <si>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</si>
  <si>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</si>
  <si>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</si>
  <si>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</si>
  <si>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</si>
  <si>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</si>
  <si>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</si>
  <si>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</si>
  <si>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</si>
  <si>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</si>
  <si>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</si>
  <si>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</si>
  <si>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</si>
  <si>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</si>
  <si>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</si>
  <si>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</si>
  <si>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</si>
  <si>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</si>
  <si>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</si>
  <si>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</si>
  <si>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</si>
  <si>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</si>
  <si>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</si>
  <si>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</si>
  <si>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</si>
  <si>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</si>
  <si>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</si>
  <si>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</si>
  <si>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</si>
  <si>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</si>
  <si>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</si>
  <si>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</si>
  <si>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</si>
  <si>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</si>
  <si>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</si>
  <si>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</si>
  <si>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</si>
  <si>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</si>
  <si>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</si>
  <si>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</si>
  <si>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</si>
  <si>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</si>
  <si>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</si>
  <si>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</si>
  <si>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</si>
  <si>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</si>
  <si>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</si>
  <si>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</si>
  <si>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</si>
  <si>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</si>
  <si>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</si>
  <si>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</si>
  <si>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</si>
  <si>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</si>
  <si>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</si>
  <si>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</si>
  <si>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</si>
  <si>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</si>
  <si>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</si>
  <si>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</si>
  <si>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</si>
  <si>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</si>
  <si>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</si>
  <si>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</si>
  <si>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</si>
  <si>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</si>
  <si>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</si>
  <si>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</si>
  <si>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</si>
  <si>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</si>
  <si>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</si>
  <si>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</si>
  <si>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</si>
  <si>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</si>
  <si>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</si>
  <si>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</si>
  <si>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</si>
  <si>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</si>
  <si>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</si>
  <si>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</si>
  <si>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</si>
  <si>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</si>
  <si>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</si>
  <si>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</si>
  <si>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</si>
  <si>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</si>
  <si>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</si>
  <si>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</si>
  <si>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</si>
  <si>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</si>
  <si>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</si>
  <si>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</si>
  <si>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</si>
  <si>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</si>
  <si>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</si>
  <si>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</si>
  <si>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</si>
  <si>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</si>
  <si>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</si>
  <si>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</si>
  <si>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</si>
  <si>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</si>
  <si>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</si>
  <si>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</si>
  <si>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</si>
  <si>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</si>
  <si>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</si>
  <si>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</si>
  <si>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</si>
  <si>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</si>
  <si>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</si>
  <si>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</si>
  <si>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</si>
  <si>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</si>
  <si>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</si>
  <si>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</si>
  <si>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</si>
  <si>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</si>
  <si>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</si>
  <si>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</si>
  <si>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</si>
  <si>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</si>
  <si>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</si>
  <si>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</si>
  <si>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</si>
  <si>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</si>
  <si>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</si>
  <si>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</si>
  <si>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</si>
  <si>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</si>
  <si>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</si>
  <si>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</si>
  <si>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</si>
  <si>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</si>
  <si>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</si>
  <si>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</si>
  <si>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</si>
  <si>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</si>
  <si>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</si>
  <si>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</si>
  <si>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</si>
  <si>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</si>
  <si>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</si>
  <si>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</si>
  <si>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</si>
  <si>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</si>
  <si>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</si>
  <si>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</si>
  <si>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</si>
  <si>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</si>
  <si>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</si>
  <si>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</si>
  <si>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</si>
  <si>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</si>
  <si>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</si>
  <si>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</si>
  <si>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</si>
  <si>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</si>
  <si>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</si>
  <si>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</si>
  <si>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</si>
  <si>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</si>
  <si>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</si>
  <si>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</si>
  <si>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</si>
  <si>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</si>
  <si>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</si>
  <si>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</si>
  <si>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</si>
  <si>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</si>
  <si>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</si>
  <si>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</si>
  <si>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</si>
  <si>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</si>
  <si>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</si>
  <si>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</si>
  <si>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</si>
  <si>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</si>
  <si>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</si>
  <si>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</si>
  <si>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</si>
  <si>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</si>
  <si>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</si>
  <si>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</si>
  <si>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</si>
  <si>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</si>
  <si>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</si>
  <si>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</si>
  <si>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</si>
  <si>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</si>
  <si>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</si>
  <si>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</si>
  <si>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</si>
  <si>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</si>
  <si>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</si>
  <si>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</si>
  <si>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</si>
  <si>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</si>
  <si>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</si>
  <si>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</si>
  <si>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</si>
  <si>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</si>
  <si>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</si>
  <si>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</si>
  <si>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</si>
  <si>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</si>
  <si>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</si>
  <si>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</si>
  <si>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</si>
  <si>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</si>
  <si>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</si>
  <si>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</si>
  <si>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</si>
  <si>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</si>
  <si>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</si>
  <si>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</si>
  <si>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</si>
  <si>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</si>
  <si>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</si>
  <si>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</si>
  <si>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</si>
  <si>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</si>
  <si>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</si>
  <si>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</si>
  <si>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</si>
  <si>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</si>
  <si>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</si>
  <si>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</si>
  <si>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</si>
  <si>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</si>
  <si>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</si>
  <si>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</si>
  <si>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</si>
  <si>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</si>
  <si>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</si>
  <si>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</si>
  <si>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</si>
  <si>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</si>
  <si>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</si>
  <si>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</si>
  <si>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</si>
  <si>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</si>
  <si>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</si>
  <si>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</si>
  <si>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</si>
  <si>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</si>
  <si>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</si>
  <si>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</si>
  <si>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</si>
  <si>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</si>
  <si>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</si>
  <si>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</si>
  <si>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</si>
  <si>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</si>
  <si>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</si>
  <si>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</si>
  <si>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</si>
  <si>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</si>
  <si>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</si>
  <si>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</si>
  <si>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</si>
  <si>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</si>
  <si>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</si>
  <si>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</si>
  <si>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</si>
  <si>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</si>
  <si>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</si>
  <si>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</si>
  <si>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</si>
  <si>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</si>
  <si>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</si>
  <si>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</si>
  <si>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</si>
  <si>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</si>
  <si>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</si>
  <si>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</si>
  <si>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</si>
  <si>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</si>
  <si>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</si>
  <si>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</si>
  <si>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</si>
  <si>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</si>
  <si>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</si>
  <si>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</si>
  <si>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</si>
  <si>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</si>
  <si>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</si>
  <si>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</si>
  <si>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</si>
  <si>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</si>
  <si>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</si>
  <si>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</si>
  <si>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</si>
  <si>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</si>
  <si>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</si>
  <si>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</si>
  <si>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</si>
  <si>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</si>
  <si>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</si>
  <si>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</si>
  <si>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</si>
  <si>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</si>
  <si>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</si>
  <si>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</si>
  <si>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</si>
  <si>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</si>
  <si>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</si>
  <si>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</si>
  <si>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</si>
  <si>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</si>
  <si>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</si>
  <si>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</si>
  <si>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</si>
  <si>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</si>
  <si>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</si>
  <si>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</si>
  <si>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</si>
  <si>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</si>
  <si>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</si>
  <si>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</si>
  <si>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</si>
  <si>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</si>
  <si>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</si>
  <si>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</si>
  <si>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</si>
  <si>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</si>
  <si>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</si>
  <si>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</si>
  <si>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</si>
  <si>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</si>
  <si>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</si>
  <si>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</si>
  <si>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</si>
  <si>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</si>
  <si>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</si>
  <si>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</si>
  <si>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</si>
  <si>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</si>
  <si>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</si>
  <si>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</si>
  <si>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</si>
  <si>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</si>
  <si>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</si>
  <si>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</si>
  <si>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</si>
  <si>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</si>
  <si>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</si>
  <si>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</si>
  <si>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</si>
  <si>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</si>
  <si>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</si>
  <si>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</si>
  <si>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</si>
  <si>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</si>
  <si>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</si>
  <si>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</si>
  <si>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</si>
  <si>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</si>
  <si>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</si>
  <si>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</si>
  <si>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</si>
  <si>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</si>
  <si>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</si>
  <si>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</si>
  <si>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</si>
  <si>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</si>
  <si>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</si>
  <si>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</si>
  <si>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</si>
  <si>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</si>
  <si>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</si>
  <si>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</si>
  <si>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</si>
  <si>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</si>
  <si>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</si>
  <si>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</si>
  <si>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</si>
  <si>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</si>
  <si>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</si>
  <si>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</si>
  <si>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</si>
  <si>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</si>
  <si>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</si>
  <si>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</si>
  <si>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</si>
  <si>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</si>
  <si>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</si>
  <si>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</si>
  <si>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</si>
  <si>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</si>
  <si>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</si>
  <si>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</si>
  <si>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</si>
  <si>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</si>
  <si>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</si>
  <si>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</si>
  <si>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</si>
  <si>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</si>
  <si>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</si>
  <si>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</si>
  <si>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</si>
  <si>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</si>
  <si>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</si>
  <si>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</si>
  <si>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</si>
  <si>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</si>
  <si>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</si>
  <si>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</si>
  <si>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</si>
  <si>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</si>
  <si>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</si>
  <si>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</si>
  <si>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</si>
  <si>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</si>
  <si>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</si>
  <si>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</si>
  <si>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</si>
  <si>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</si>
  <si>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</si>
  <si>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</si>
  <si>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</si>
  <si>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</si>
  <si>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</si>
  <si>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</si>
  <si>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</si>
  <si>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</si>
  <si>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</si>
  <si>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</si>
  <si>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</si>
  <si>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</si>
  <si>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</si>
  <si>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</si>
  <si>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</si>
  <si>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</si>
  <si>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</si>
  <si>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</si>
  <si>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</si>
  <si>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</si>
  <si>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</si>
  <si>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</si>
  <si>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</si>
  <si>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</si>
  <si>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</si>
  <si>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</si>
  <si>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</si>
  <si>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</si>
  <si>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</si>
  <si>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</si>
  <si>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</si>
  <si>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</si>
  <si>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</si>
  <si>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</si>
  <si>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</si>
  <si>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</si>
  <si>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</si>
  <si>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</si>
  <si>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</si>
  <si>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</si>
  <si>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</si>
  <si>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</si>
  <si>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</si>
  <si>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</si>
  <si>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</si>
  <si>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</si>
  <si>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</si>
  <si>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</si>
  <si>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</si>
  <si>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</si>
  <si>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</si>
  <si>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</si>
  <si>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</si>
  <si>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</si>
  <si>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</si>
  <si>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</si>
  <si>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</si>
  <si>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</si>
  <si>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</si>
  <si>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</si>
  <si>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</si>
  <si>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</si>
  <si>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</si>
  <si>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</si>
  <si>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</si>
  <si>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</si>
  <si>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</si>
  <si>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</si>
  <si>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</si>
  <si>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</si>
  <si>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</si>
  <si>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</si>
  <si>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</si>
  <si>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</si>
  <si>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</si>
  <si>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</si>
  <si>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</si>
  <si>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</si>
  <si>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</si>
  <si>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</si>
  <si>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</si>
  <si>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</si>
  <si>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</si>
  <si>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</si>
  <si>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</si>
  <si>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</si>
  <si>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</si>
  <si>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</si>
  <si>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</si>
  <si>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</si>
  <si>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</si>
  <si>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</si>
  <si>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</si>
  <si>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</si>
  <si>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</si>
  <si>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</si>
  <si>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</si>
  <si>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</si>
  <si>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</si>
  <si>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</si>
  <si>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</si>
  <si>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</si>
  <si>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</si>
  <si>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</si>
  <si>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</si>
  <si>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</si>
  <si>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</si>
  <si>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</si>
  <si>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</si>
  <si>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</si>
  <si>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</si>
  <si>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</si>
  <si>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</si>
  <si>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</si>
  <si>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</si>
  <si>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</si>
  <si>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</si>
  <si>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</si>
  <si>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</si>
  <si>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</si>
  <si>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</si>
  <si>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</si>
  <si>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</si>
  <si>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</si>
  <si>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</si>
  <si>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</si>
  <si>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</si>
  <si>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</si>
  <si>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</si>
  <si>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</si>
  <si>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</si>
  <si>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</si>
  <si>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</si>
  <si>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</si>
  <si>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</si>
  <si>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</si>
  <si>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</si>
  <si>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</si>
  <si>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</si>
  <si>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</si>
  <si>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</si>
  <si>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</si>
  <si>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</si>
  <si>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</si>
  <si>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</si>
  <si>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</si>
  <si>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</si>
  <si>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</si>
  <si>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</si>
  <si>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</si>
  <si>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</si>
  <si>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</si>
  <si>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</si>
  <si>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</si>
  <si>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</si>
  <si>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</si>
  <si>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</si>
  <si>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</si>
  <si>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</si>
  <si>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</si>
  <si>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</si>
  <si>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</si>
  <si>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</si>
  <si>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</si>
  <si>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</si>
  <si>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</si>
  <si>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</si>
  <si>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</si>
  <si>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</si>
  <si>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</si>
  <si>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</si>
  <si>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</si>
  <si>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</si>
  <si>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</si>
  <si>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</si>
  <si>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</si>
  <si>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</si>
  <si>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</si>
  <si>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</si>
  <si>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</si>
  <si>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</si>
  <si>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</si>
  <si>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</si>
  <si>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</si>
  <si>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</si>
  <si>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</si>
  <si>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</si>
  <si>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</si>
  <si>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</si>
  <si>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</si>
  <si>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</si>
  <si>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</si>
  <si>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</si>
  <si>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</si>
  <si>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</si>
  <si>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</si>
  <si>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</si>
  <si>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</si>
  <si>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</si>
  <si>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</si>
  <si>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</si>
  <si>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</si>
  <si>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</si>
  <si>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</si>
  <si>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</si>
  <si>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</si>
  <si>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</si>
  <si>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</si>
  <si>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</si>
  <si>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</si>
  <si>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</si>
  <si>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</si>
  <si>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</si>
  <si>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</si>
  <si>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</si>
  <si>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</si>
  <si>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</si>
  <si>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</si>
  <si>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</si>
  <si>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</si>
  <si>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</si>
  <si>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</si>
  <si>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</si>
  <si>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</si>
  <si>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</si>
  <si>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</si>
  <si>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</si>
  <si>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</si>
  <si>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</si>
  <si>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</si>
  <si>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</si>
  <si>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</si>
  <si>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</si>
  <si>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</si>
  <si>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</si>
  <si>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</si>
  <si>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</si>
  <si>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</si>
  <si>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</si>
  <si>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</si>
  <si>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</si>
  <si>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</si>
  <si>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</si>
  <si>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</si>
  <si>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</si>
  <si>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</si>
  <si>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</si>
  <si>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</si>
  <si>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</si>
  <si>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</si>
  <si>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</si>
  <si>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</si>
  <si>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</si>
  <si>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</si>
  <si>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</si>
  <si>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</si>
  <si>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</si>
  <si>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</si>
  <si>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</si>
  <si>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</si>
  <si>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</si>
  <si>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</si>
  <si>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</si>
  <si>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</si>
  <si>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</si>
  <si>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</si>
  <si>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</si>
  <si>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</si>
  <si>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</si>
  <si>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</si>
  <si>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</si>
  <si>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</si>
  <si>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</si>
  <si>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</si>
  <si>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</si>
  <si>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</si>
  <si>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</si>
  <si>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</si>
  <si>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</si>
  <si>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</si>
  <si>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</si>
  <si>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</si>
  <si>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</si>
  <si>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</si>
  <si>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</si>
  <si>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</si>
  <si>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</si>
  <si>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</si>
  <si>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</si>
  <si>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</si>
  <si>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</si>
  <si>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</si>
  <si>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</si>
  <si>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</si>
  <si>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</si>
  <si>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</si>
  <si>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</si>
  <si>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</si>
  <si>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</si>
  <si>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</si>
  <si>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</si>
  <si>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</si>
  <si>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</si>
  <si>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</si>
  <si>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</si>
  <si>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</si>
  <si>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</si>
  <si>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</si>
  <si>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</si>
  <si>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</si>
  <si>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</si>
  <si>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</si>
  <si>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</si>
  <si>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</si>
  <si>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</si>
  <si>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</si>
  <si>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</si>
  <si>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</si>
  <si>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</si>
  <si>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</si>
  <si>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</si>
  <si>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</si>
  <si>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</si>
  <si>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</si>
  <si>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</si>
  <si>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</si>
  <si>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</si>
  <si>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</si>
  <si>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</si>
  <si>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</si>
  <si>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</si>
  <si>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</si>
  <si>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</si>
  <si>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</si>
  <si>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</si>
  <si>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</si>
  <si>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</si>
  <si>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</si>
  <si>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</si>
  <si>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</si>
  <si>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</si>
  <si>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</si>
  <si>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</si>
  <si>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</si>
  <si>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</si>
  <si>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</si>
  <si>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</si>
  <si>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</si>
  <si>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</si>
  <si>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</si>
  <si>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</si>
  <si>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</si>
  <si>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</si>
  <si>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</si>
  <si>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</si>
  <si>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</si>
  <si>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</si>
  <si>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</si>
  <si>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</si>
  <si>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</si>
  <si>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</si>
  <si>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</si>
  <si>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</si>
  <si>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</si>
  <si>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</si>
  <si>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</si>
  <si>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</si>
  <si>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</si>
  <si>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</si>
  <si>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</si>
  <si>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</si>
  <si>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</si>
  <si>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</si>
  <si>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</si>
  <si>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</si>
  <si>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</si>
  <si>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</si>
  <si>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</si>
  <si>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</si>
  <si>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</si>
  <si>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</si>
  <si>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</si>
  <si>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</si>
  <si>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</si>
  <si>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</si>
  <si>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</si>
  <si>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</si>
  <si>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</si>
  <si>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</si>
  <si>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</si>
  <si>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</si>
  <si>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</si>
  <si>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</si>
  <si>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</si>
  <si>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</si>
  <si>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</si>
  <si>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</si>
  <si>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</si>
  <si>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</si>
  <si>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</si>
  <si>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</si>
  <si>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</si>
  <si>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</si>
  <si>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</si>
  <si>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</si>
  <si>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</si>
  <si>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</si>
  <si>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</si>
  <si>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</si>
  <si>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</si>
  <si>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</si>
  <si>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</si>
  <si>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</si>
  <si>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</si>
  <si>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</si>
  <si>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</si>
  <si>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</si>
  <si>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</si>
  <si>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</si>
  <si>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</si>
  <si>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</si>
  <si>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</si>
  <si>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</si>
  <si>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</si>
  <si>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</si>
  <si>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</si>
  <si>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</si>
  <si>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</si>
  <si>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</si>
  <si>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</si>
  <si>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</si>
  <si>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</si>
  <si>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</si>
  <si>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</si>
  <si>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</si>
  <si>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</si>
  <si>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</si>
  <si>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</si>
  <si>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</si>
  <si>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</si>
  <si>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</si>
  <si>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</si>
  <si>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</si>
  <si>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</si>
  <si>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</si>
  <si>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</si>
  <si>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</si>
  <si>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</si>
  <si>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</si>
  <si>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</si>
  <si>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</si>
  <si>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</si>
  <si>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</si>
  <si>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</si>
  <si>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</si>
  <si>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</si>
  <si>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</si>
  <si>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</si>
  <si>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</si>
  <si>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</si>
  <si>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</si>
  <si>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</si>
  <si>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</si>
  <si>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</si>
  <si>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</si>
  <si>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</si>
  <si>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</si>
  <si>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</si>
  <si>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</si>
  <si>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</si>
  <si>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</si>
  <si>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</si>
  <si>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</si>
  <si>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</si>
  <si>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</si>
  <si>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</si>
  <si>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</si>
  <si>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</si>
  <si>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</si>
  <si>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</si>
  <si>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</si>
  <si>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</si>
  <si>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</si>
  <si>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</si>
  <si>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</si>
  <si>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</si>
  <si>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</si>
  <si>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</si>
  <si>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</si>
  <si>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</si>
  <si>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</si>
  <si>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</si>
  <si>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</si>
  <si>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</si>
  <si>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</si>
  <si>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</si>
  <si>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</si>
  <si>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</si>
  <si>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</si>
  <si>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</si>
  <si>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</si>
  <si>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</si>
  <si>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</si>
  <si>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</si>
  <si>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</si>
  <si>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</si>
  <si>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</si>
  <si>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</si>
  <si>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</si>
  <si>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</si>
  <si>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</si>
  <si>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</si>
  <si>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</si>
  <si>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</si>
  <si>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</si>
  <si>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</si>
  <si>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</si>
  <si>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</si>
  <si>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</si>
  <si>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</si>
  <si>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</si>
  <si>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</si>
  <si>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</si>
  <si>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</si>
  <si>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</si>
  <si>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</si>
  <si>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</si>
  <si>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</si>
  <si>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</si>
  <si>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</si>
  <si>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</si>
  <si>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</si>
  <si>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</si>
  <si>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</si>
  <si>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</si>
  <si>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</si>
  <si>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</si>
  <si>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</si>
  <si>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</si>
  <si>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</si>
  <si>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</si>
  <si>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</si>
  <si>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</si>
  <si>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</si>
  <si>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</si>
  <si>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</si>
  <si>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</si>
  <si>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</si>
  <si>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</si>
  <si>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</si>
  <si>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</si>
  <si>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</si>
  <si>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</si>
  <si>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</si>
  <si>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</si>
  <si>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</si>
  <si>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</si>
  <si>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</si>
  <si>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</si>
  <si>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</si>
  <si>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</si>
  <si>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</si>
  <si>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</si>
  <si>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</si>
  <si>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</si>
  <si>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</si>
  <si>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</si>
  <si>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</si>
  <si>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</si>
  <si>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</si>
  <si>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</si>
  <si>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</si>
  <si>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</si>
  <si>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</si>
  <si>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</si>
  <si>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</si>
  <si>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</si>
  <si>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</si>
  <si>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</si>
  <si>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</si>
  <si>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</si>
  <si>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</si>
  <si>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</si>
  <si>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</si>
  <si>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</si>
  <si>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</si>
  <si>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</si>
  <si>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</si>
  <si>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</si>
  <si>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</si>
  <si>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</si>
  <si>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</si>
  <si>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</si>
  <si>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</si>
  <si>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</si>
  <si>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</si>
  <si>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</si>
  <si>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</si>
  <si>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</si>
  <si>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</si>
  <si>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</si>
  <si>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</si>
  <si>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</si>
  <si>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</si>
  <si>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</si>
  <si>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</si>
  <si>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</si>
  <si>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</si>
  <si>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</si>
  <si>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</si>
  <si>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</si>
  <si>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</si>
  <si>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</si>
  <si>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</si>
  <si>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</si>
  <si>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</si>
  <si>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</si>
  <si>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</si>
  <si>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</si>
  <si>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</si>
  <si>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</si>
  <si>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</si>
  <si>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</si>
  <si>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</si>
  <si>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</si>
  <si>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</si>
  <si>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</si>
  <si>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</si>
  <si>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</si>
  <si>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</si>
  <si>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</si>
  <si>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</si>
  <si>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</si>
  <si>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</si>
  <si>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</si>
  <si>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</si>
  <si>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</si>
  <si>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</si>
  <si>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</si>
  <si>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</si>
  <si>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</si>
  <si>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</si>
  <si>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</si>
  <si>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</si>
  <si>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</si>
  <si>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</si>
  <si>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</si>
  <si>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</si>
  <si>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</si>
  <si>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</si>
  <si>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</si>
  <si>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</si>
  <si>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</si>
  <si>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</si>
  <si>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</si>
  <si>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</si>
  <si>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</si>
  <si>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</si>
  <si>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</si>
  <si>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</si>
  <si>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</si>
  <si>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</si>
  <si>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</si>
  <si>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</si>
  <si>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</si>
  <si>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</si>
  <si>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</si>
  <si>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</si>
  <si>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</si>
  <si>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</si>
  <si>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</si>
  <si>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</si>
  <si>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</si>
  <si>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</si>
  <si>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</si>
  <si>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</si>
  <si>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</si>
  <si>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</si>
  <si>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</si>
  <si>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</si>
  <si>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</si>
  <si>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</si>
  <si>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</si>
  <si>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</si>
  <si>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</si>
  <si>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</si>
  <si>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</si>
  <si>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</si>
  <si>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</si>
  <si>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</si>
  <si>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</si>
  <si>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</si>
  <si>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</si>
  <si>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</si>
  <si>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</si>
  <si>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</si>
  <si>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</si>
  <si>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</si>
  <si>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</si>
  <si>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</si>
  <si>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</si>
  <si>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</si>
  <si>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</si>
  <si>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</si>
  <si>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</si>
  <si>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</si>
  <si>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</si>
  <si>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</si>
  <si>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</si>
  <si>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</si>
  <si>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</si>
  <si>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</si>
  <si>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</si>
  <si>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</si>
  <si>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</si>
  <si>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</si>
  <si>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</si>
  <si>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</si>
  <si>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</si>
  <si>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</si>
  <si>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</si>
  <si>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</si>
  <si>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</si>
  <si>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</si>
  <si>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</si>
  <si>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</si>
  <si>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</si>
  <si>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</si>
  <si>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</si>
  <si>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</si>
  <si>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</si>
  <si>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</si>
  <si>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</si>
  <si>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</si>
  <si>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</si>
  <si>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</si>
  <si>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</si>
  <si>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</si>
  <si>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</si>
  <si>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</si>
  <si>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</si>
  <si>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</si>
  <si>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</si>
  <si>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</si>
  <si>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</si>
  <si>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</si>
  <si>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</si>
  <si>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</si>
  <si>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</si>
  <si>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</si>
  <si>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</si>
  <si>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</si>
  <si>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</si>
  <si>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</si>
  <si>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</si>
  <si>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</si>
  <si>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</si>
  <si>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</si>
  <si>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</si>
  <si>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</si>
  <si>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</si>
  <si>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</si>
  <si>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</si>
  <si>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</si>
  <si>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</si>
  <si>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</si>
  <si>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</si>
  <si>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</si>
  <si>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</si>
  <si>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</si>
  <si>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</si>
  <si>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</si>
  <si>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</si>
  <si>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</si>
  <si>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</si>
  <si>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</si>
  <si>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</si>
  <si>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</si>
  <si>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</si>
  <si>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</si>
  <si>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</si>
  <si>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</si>
  <si>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</si>
  <si>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</si>
  <si>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</si>
  <si>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</si>
  <si>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</si>
  <si>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</si>
  <si>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</si>
  <si>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</si>
  <si>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</si>
  <si>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</si>
  <si>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</si>
  <si>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</si>
  <si>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</si>
  <si>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</si>
  <si>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</si>
  <si>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</si>
  <si>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</si>
  <si>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</si>
  <si>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</si>
  <si>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</si>
  <si>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</si>
  <si>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</si>
  <si>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</si>
  <si>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</si>
  <si>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</si>
  <si>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</si>
  <si>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</si>
  <si>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</si>
  <si>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</si>
  <si>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</si>
  <si>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</si>
  <si>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</si>
  <si>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</si>
  <si>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</si>
  <si>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</si>
  <si>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</si>
  <si>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</si>
  <si>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</si>
  <si>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</si>
  <si>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</si>
  <si>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</si>
  <si>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</si>
  <si>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</si>
  <si>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</si>
  <si>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</si>
  <si>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</si>
  <si>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</si>
  <si>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</si>
  <si>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</si>
  <si>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</si>
  <si>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</si>
  <si>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</si>
  <si>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</si>
  <si>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</si>
  <si>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</si>
  <si>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</si>
  <si>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</si>
  <si>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</si>
  <si>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</si>
  <si>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</si>
  <si>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</si>
  <si>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</si>
  <si>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</si>
  <si>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</si>
  <si>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</si>
  <si>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</si>
  <si>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</si>
  <si>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</si>
  <si>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</si>
  <si>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</si>
  <si>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</si>
  <si>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</si>
  <si>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</si>
  <si>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</si>
  <si>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</si>
  <si>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</si>
  <si>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</si>
  <si>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</si>
  <si>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</si>
  <si>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</si>
  <si>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</si>
  <si>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</si>
  <si>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</si>
  <si>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</si>
  <si>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</si>
  <si>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</si>
  <si>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</si>
  <si>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</si>
  <si>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</si>
  <si>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</si>
  <si>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</si>
  <si>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</si>
  <si>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</si>
  <si>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</si>
  <si>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</si>
  <si>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</si>
  <si>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</si>
  <si>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</si>
  <si>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</si>
  <si>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</si>
  <si>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</si>
  <si>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</si>
  <si>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</si>
  <si>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</si>
  <si>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</si>
  <si>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</si>
  <si>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</si>
  <si>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</si>
  <si>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</si>
  <si>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</si>
  <si>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</si>
  <si>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</si>
  <si>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</si>
  <si>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</si>
  <si>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</si>
  <si>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</si>
  <si>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</si>
  <si>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</si>
  <si>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</si>
  <si>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</si>
  <si>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</si>
  <si>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</si>
  <si>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</si>
  <si>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</si>
  <si>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</si>
  <si>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</si>
  <si>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</si>
  <si>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</si>
  <si>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</si>
  <si>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</si>
  <si>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</si>
  <si>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</si>
  <si>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</si>
  <si>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</si>
  <si>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</si>
  <si>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</si>
  <si>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</si>
  <si>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</si>
  <si>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</si>
  <si>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</si>
  <si>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</si>
  <si>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</si>
  <si>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</si>
  <si>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</si>
  <si>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</si>
  <si>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</si>
  <si>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</si>
  <si>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</si>
  <si>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</si>
  <si>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</si>
  <si>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</si>
  <si>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</si>
  <si>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</si>
  <si>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</si>
  <si>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</si>
  <si>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</si>
  <si>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</si>
  <si>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</si>
  <si>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</si>
  <si>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</si>
  <si>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</si>
  <si>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</si>
  <si>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</si>
  <si>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</si>
  <si>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</si>
  <si>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</si>
  <si>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</si>
  <si>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</si>
  <si>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</si>
  <si>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</si>
  <si>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</si>
  <si>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</si>
  <si>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</si>
  <si>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</si>
  <si>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</si>
  <si>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</si>
  <si>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</si>
  <si>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</si>
  <si>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</si>
  <si>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</si>
  <si>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</si>
  <si>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</si>
  <si>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</si>
  <si>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</si>
  <si>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</si>
  <si>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</si>
  <si>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</si>
  <si>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</si>
  <si>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</si>
  <si>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</si>
  <si>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</si>
  <si>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</si>
  <si>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</si>
  <si>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</si>
  <si>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</si>
  <si>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</si>
  <si>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</si>
  <si>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</si>
  <si>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</si>
  <si>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</si>
  <si>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</si>
  <si>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</si>
  <si>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</si>
  <si>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</si>
  <si>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</si>
  <si>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</si>
  <si>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</si>
  <si>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</si>
  <si>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</si>
  <si>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</si>
  <si>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</si>
  <si>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</si>
  <si>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</si>
  <si>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</si>
  <si>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</si>
  <si>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</si>
  <si>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</si>
  <si>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</si>
  <si>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</si>
  <si>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</si>
  <si>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</si>
  <si>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</si>
  <si>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</si>
  <si>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</si>
  <si>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</si>
  <si>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</si>
  <si>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</si>
  <si>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</si>
  <si>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</si>
  <si>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</si>
  <si>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</si>
  <si>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</si>
  <si>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</si>
  <si>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</si>
  <si>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</si>
  <si>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</si>
  <si>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</si>
  <si>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</si>
  <si>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</si>
  <si>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</si>
  <si>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</si>
  <si>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</si>
  <si>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</si>
  <si>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</si>
  <si>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</si>
  <si>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</si>
  <si>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</si>
  <si>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</si>
  <si>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</si>
  <si>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</si>
  <si>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</si>
  <si>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</si>
  <si>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</si>
  <si>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</si>
  <si>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</si>
  <si>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</si>
  <si>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</si>
  <si>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</si>
  <si>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</si>
  <si>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</si>
  <si>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</si>
  <si>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</si>
  <si>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</si>
  <si>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</si>
  <si>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</si>
  <si>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</si>
  <si>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</si>
  <si>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</si>
  <si>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</si>
  <si>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</si>
  <si>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</si>
  <si>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</si>
  <si>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</si>
  <si>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</si>
  <si>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</si>
  <si>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</si>
  <si>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</si>
  <si>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</si>
  <si>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</si>
  <si>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</si>
  <si>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</si>
  <si>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</si>
  <si>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</si>
  <si>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</si>
  <si>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</si>
  <si>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</si>
  <si>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</si>
  <si>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</si>
  <si>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</si>
  <si>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</si>
  <si>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</si>
  <si>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</si>
  <si>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</si>
  <si>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</si>
  <si>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</si>
  <si>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</si>
  <si>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</si>
  <si>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</si>
  <si>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</si>
  <si>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</si>
  <si>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</si>
  <si>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</si>
  <si>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</si>
  <si>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</si>
  <si>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</si>
  <si>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</si>
  <si>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</si>
  <si>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</si>
  <si>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</si>
  <si>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</si>
  <si>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</si>
  <si>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</si>
  <si>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</si>
  <si>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</si>
  <si>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</si>
  <si>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</si>
  <si>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</si>
  <si>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</si>
  <si>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</si>
  <si>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</si>
  <si>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</si>
  <si>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</si>
  <si>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</si>
  <si>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</si>
  <si>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</si>
  <si>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</si>
  <si>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</si>
  <si>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</si>
  <si>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</si>
  <si>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</si>
  <si>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</si>
  <si>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</si>
  <si>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</si>
  <si>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</si>
  <si>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</si>
  <si>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</si>
  <si>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</si>
  <si>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</si>
  <si>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</si>
  <si>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</si>
  <si>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</si>
  <si>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</si>
  <si>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</si>
  <si>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</si>
  <si>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</si>
  <si>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</si>
  <si>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</si>
  <si>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</si>
  <si>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</si>
  <si>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</si>
  <si>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</si>
  <si>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</si>
  <si>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</si>
  <si>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</si>
  <si>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</si>
  <si>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</si>
  <si>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</si>
  <si>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</si>
  <si>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</si>
  <si>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</si>
  <si>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</si>
  <si>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</si>
  <si>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</si>
  <si>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</si>
  <si>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</si>
  <si>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</si>
  <si>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</si>
  <si>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</si>
  <si>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</si>
  <si>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</si>
  <si>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</si>
  <si>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</si>
  <si>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</si>
  <si>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</si>
  <si>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</si>
  <si>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</si>
  <si>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</si>
  <si>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</si>
  <si>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</si>
  <si>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</si>
  <si>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</si>
  <si>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</si>
  <si>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</si>
  <si>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</si>
  <si>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</si>
  <si>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</si>
  <si>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</si>
  <si>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</si>
  <si>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</si>
  <si>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</si>
  <si>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</si>
  <si>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</si>
  <si>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</si>
  <si>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</si>
  <si>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</si>
  <si>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</si>
  <si>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</si>
  <si>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</si>
  <si>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</si>
  <si>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</si>
  <si>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</si>
  <si>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</si>
  <si>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</si>
  <si>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</si>
  <si>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</si>
  <si>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</si>
  <si>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</si>
  <si>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</si>
  <si>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</si>
  <si>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</si>
  <si>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</si>
  <si>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</si>
  <si>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</si>
  <si>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</si>
  <si>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</si>
  <si>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</si>
  <si>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</si>
  <si>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</si>
  <si>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</si>
  <si>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</si>
  <si>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</si>
  <si>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</si>
  <si>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</si>
  <si>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</si>
  <si>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</si>
  <si>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</si>
  <si>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</si>
  <si>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</si>
  <si>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</si>
  <si>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</si>
  <si>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</si>
  <si>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</si>
  <si>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</si>
  <si>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</si>
  <si>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</si>
  <si>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</si>
  <si>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</si>
  <si>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</si>
  <si>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</si>
  <si>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</si>
  <si>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</si>
  <si>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</si>
  <si>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</si>
  <si>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</si>
  <si>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</si>
  <si>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</si>
  <si>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</si>
  <si>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</si>
  <si>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</si>
  <si>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</si>
  <si>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</si>
  <si>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</si>
  <si>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</si>
  <si>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</si>
  <si>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</si>
  <si>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</si>
  <si>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</si>
  <si>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</si>
  <si>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</si>
  <si>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</si>
  <si>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</si>
  <si>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</si>
  <si>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</si>
  <si>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</si>
  <si>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</si>
  <si>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</si>
  <si>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</si>
  <si>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</si>
  <si>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</si>
  <si>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</si>
  <si>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</si>
  <si>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</si>
  <si>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</si>
  <si>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</si>
  <si>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</si>
  <si>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</si>
  <si>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</si>
  <si>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</si>
  <si>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</si>
  <si>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</si>
  <si>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</si>
  <si>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</si>
  <si>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</si>
  <si>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</si>
  <si>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</si>
  <si>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</si>
  <si>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</si>
  <si>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</si>
  <si>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</si>
  <si>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</si>
  <si>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</si>
  <si>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</si>
  <si>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</si>
  <si>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</si>
  <si>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</si>
  <si>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</si>
  <si>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</si>
  <si>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</si>
  <si>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</si>
  <si>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</si>
  <si>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</si>
  <si>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</si>
  <si>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</si>
  <si>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</si>
  <si>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</si>
  <si>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</si>
  <si>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</si>
  <si>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</si>
  <si>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</si>
  <si>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</si>
  <si>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</si>
  <si>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</si>
  <si>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</si>
  <si>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</si>
  <si>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</si>
  <si>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</si>
  <si>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</si>
  <si>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</si>
  <si>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</si>
  <si>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</si>
  <si>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</si>
  <si>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</si>
  <si>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</si>
  <si>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</si>
  <si>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</si>
  <si>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</si>
  <si>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</si>
  <si>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</si>
  <si>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</si>
  <si>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</si>
  <si>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</si>
  <si>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</si>
  <si>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</si>
  <si>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</si>
  <si>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</si>
  <si>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</si>
  <si>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</si>
  <si>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</si>
  <si>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</si>
  <si>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</si>
  <si>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</si>
  <si>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</si>
  <si>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</si>
  <si>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</si>
  <si>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</si>
  <si>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</si>
  <si>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</si>
  <si>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</si>
  <si>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</si>
  <si>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</si>
  <si>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</si>
  <si>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</si>
  <si>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</si>
  <si>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</si>
  <si>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</si>
  <si>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</si>
  <si>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</si>
  <si>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</si>
  <si>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</si>
  <si>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</si>
  <si>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</si>
  <si>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</si>
  <si>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</si>
  <si>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</si>
  <si>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</si>
  <si>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</si>
  <si>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</si>
  <si>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</si>
  <si>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</si>
  <si>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</si>
  <si>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</si>
  <si>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</si>
  <si>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</si>
  <si>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</si>
  <si>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</si>
  <si>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</si>
  <si>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</si>
  <si>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</si>
  <si>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</si>
  <si>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</si>
  <si>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</si>
  <si>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</si>
  <si>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</si>
  <si>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</si>
  <si>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</si>
  <si>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</si>
  <si>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</si>
  <si>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</si>
  <si>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</si>
  <si>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</si>
  <si>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</si>
  <si>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</si>
  <si>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</si>
  <si>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</si>
  <si>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</si>
  <si>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</si>
  <si>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</si>
  <si>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</si>
  <si>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</si>
  <si>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</si>
  <si>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</si>
  <si>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</si>
  <si>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</si>
  <si>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</si>
  <si>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</si>
  <si>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</si>
  <si>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</si>
  <si>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</si>
  <si>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</si>
  <si>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</si>
  <si>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</si>
  <si>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</si>
  <si>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</si>
  <si>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</si>
  <si>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</si>
  <si>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</si>
  <si>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</si>
  <si>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</si>
  <si>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</si>
  <si>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</si>
  <si>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</si>
  <si>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</si>
  <si>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</si>
  <si>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</si>
  <si>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</si>
  <si>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</si>
  <si>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</si>
  <si>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</si>
  <si>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</si>
  <si>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</si>
  <si>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</si>
  <si>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</si>
  <si>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</si>
  <si>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</si>
  <si>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</si>
  <si>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</si>
  <si>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</si>
  <si>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</si>
  <si>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</si>
  <si>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</si>
  <si>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</si>
  <si>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</si>
  <si>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</si>
  <si>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</si>
  <si>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</si>
  <si>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</si>
  <si>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</si>
  <si>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</si>
  <si>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</si>
  <si>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</si>
  <si>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</si>
  <si>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</si>
  <si>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</si>
  <si>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</si>
  <si>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</si>
  <si>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</si>
  <si>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</si>
  <si>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</si>
  <si>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</si>
  <si>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</si>
  <si>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</si>
  <si>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</si>
  <si>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</si>
  <si>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</si>
  <si>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</si>
  <si>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</si>
  <si>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</si>
  <si>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</si>
  <si>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</si>
  <si>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</si>
  <si>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</si>
  <si>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</si>
  <si>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</si>
  <si>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</si>
  <si>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</si>
  <si>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</si>
  <si>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</si>
  <si>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</si>
  <si>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</si>
  <si>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</si>
  <si>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</si>
  <si>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</si>
  <si>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</si>
  <si>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</si>
  <si>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</si>
  <si>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</si>
  <si>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</si>
  <si>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</si>
  <si>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</si>
  <si>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</si>
  <si>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</si>
  <si>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</si>
  <si>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</si>
  <si>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</si>
  <si>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</si>
  <si>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</si>
  <si>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</si>
  <si>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</si>
  <si>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</si>
  <si>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</si>
  <si>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</si>
  <si>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</si>
  <si>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</si>
  <si>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</si>
  <si>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</si>
  <si>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</si>
  <si>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</si>
  <si>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</si>
  <si>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</si>
  <si>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</si>
  <si>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</si>
  <si>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</si>
  <si>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</si>
  <si>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</si>
  <si>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</si>
  <si>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</si>
  <si>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</si>
  <si>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</si>
  <si>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</si>
  <si>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</si>
  <si>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</si>
  <si>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</si>
  <si>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</si>
  <si>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</si>
  <si>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</si>
  <si>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</si>
  <si>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</si>
  <si>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</si>
  <si>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</si>
  <si>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</si>
  <si>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</si>
  <si>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</si>
  <si>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</si>
  <si>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</si>
  <si>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</si>
  <si>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</si>
  <si>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</si>
  <si>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</si>
  <si>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</si>
  <si>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</si>
  <si>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</si>
  <si>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</si>
  <si>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</si>
  <si>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</si>
  <si>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</si>
  <si>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</si>
  <si>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</si>
  <si>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</si>
  <si>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</si>
  <si>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</si>
  <si>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</si>
  <si>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</si>
  <si>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</si>
  <si>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</si>
  <si>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</si>
  <si>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</si>
  <si>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</si>
  <si>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</si>
  <si>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</si>
  <si>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</si>
  <si>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</si>
  <si>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</si>
  <si>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</si>
  <si>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</si>
  <si>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</si>
  <si>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</si>
  <si>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</si>
  <si>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</si>
  <si>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</si>
  <si>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</si>
  <si>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</si>
  <si>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</si>
  <si>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</si>
  <si>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</si>
  <si>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</si>
  <si>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</si>
  <si>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</si>
  <si>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</si>
  <si>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</si>
  <si>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</si>
  <si>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</si>
  <si>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</si>
  <si>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</si>
  <si>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</si>
  <si>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</si>
  <si>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</si>
  <si>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</si>
  <si>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</si>
  <si>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</si>
  <si>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</si>
  <si>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</si>
  <si>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</si>
  <si>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</si>
  <si>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</si>
  <si>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</si>
  <si>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</si>
  <si>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</si>
  <si>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</si>
  <si>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</si>
  <si>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</si>
  <si>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</si>
  <si>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</si>
  <si>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</si>
  <si>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</si>
  <si>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</si>
  <si>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</si>
  <si>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</si>
  <si>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</si>
  <si>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</si>
  <si>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</si>
  <si>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</si>
  <si>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</si>
  <si>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</si>
  <si>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</si>
  <si>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</si>
  <si>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</si>
  <si>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</si>
  <si>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</si>
  <si>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</si>
  <si>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</si>
  <si>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</si>
  <si>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</si>
  <si>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</si>
  <si>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</si>
  <si>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</si>
  <si>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</si>
  <si>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</si>
  <si>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</si>
  <si>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</si>
  <si>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</si>
  <si>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</si>
  <si>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</si>
  <si>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</si>
  <si>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</si>
  <si>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</si>
  <si>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</si>
  <si>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</si>
  <si>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</si>
  <si>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</si>
  <si>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</si>
  <si>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</si>
  <si>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</si>
  <si>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</si>
  <si>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</si>
  <si>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</si>
  <si>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</si>
  <si>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</si>
  <si>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</si>
  <si>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</si>
  <si>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</si>
  <si>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</si>
  <si>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</si>
  <si>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</si>
  <si>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</si>
  <si>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</si>
  <si>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</si>
  <si>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</si>
  <si>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</si>
  <si>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</si>
  <si>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</si>
  <si>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</si>
  <si>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</si>
  <si>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</si>
  <si>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</si>
  <si>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</si>
  <si>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</si>
  <si>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</si>
  <si>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</si>
  <si>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</si>
  <si>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</si>
  <si>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</si>
  <si>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</si>
  <si>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</si>
  <si>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</si>
  <si>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</si>
  <si>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</si>
  <si>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</si>
  <si>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</si>
  <si>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</si>
  <si>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</si>
  <si>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</si>
  <si>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</si>
  <si>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</si>
  <si>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</si>
  <si>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</si>
  <si>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</si>
  <si>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</si>
  <si>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</si>
  <si>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</si>
  <si>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</si>
  <si>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</si>
  <si>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</si>
  <si>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</si>
  <si>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</si>
  <si>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</si>
  <si>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</si>
  <si>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</si>
  <si>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</si>
  <si>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</si>
  <si>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</si>
  <si>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</si>
  <si>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</si>
  <si>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</si>
  <si>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</si>
  <si>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</si>
  <si>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</si>
  <si>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</si>
  <si>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</si>
  <si>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</si>
  <si>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</si>
  <si>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</si>
  <si>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</si>
  <si>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</si>
  <si>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</si>
  <si>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</si>
  <si>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</si>
  <si>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</si>
  <si>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</si>
  <si>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</si>
  <si>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</si>
  <si>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</si>
  <si>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</si>
  <si>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</si>
  <si>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</si>
  <si>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</si>
  <si>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</si>
  <si>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</si>
  <si>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</si>
  <si>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</si>
  <si>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</si>
  <si>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</si>
  <si>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</si>
  <si>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</si>
  <si>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</si>
  <si>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</si>
  <si>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</si>
  <si>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</si>
  <si>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</si>
  <si>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</si>
  <si>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</si>
  <si>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</si>
  <si>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</si>
  <si>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</si>
  <si>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</si>
  <si>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</si>
  <si>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</si>
  <si>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</si>
  <si>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</si>
  <si>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</si>
  <si>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</si>
  <si>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</si>
  <si>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</si>
  <si>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</si>
  <si>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</si>
  <si>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</si>
  <si>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</si>
  <si>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</si>
  <si>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</si>
  <si>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</si>
  <si>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</si>
  <si>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</si>
  <si>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</si>
  <si>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</si>
  <si>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</si>
  <si>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</si>
  <si>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</si>
  <si>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</si>
  <si>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</si>
  <si>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</si>
  <si>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</si>
  <si>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</si>
  <si>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</si>
  <si>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</si>
  <si>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</si>
  <si>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</si>
  <si>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</si>
  <si>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</si>
  <si>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</si>
  <si>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</si>
  <si>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</si>
  <si>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</si>
  <si>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</si>
  <si>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</si>
  <si>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</si>
  <si>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</si>
  <si>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</si>
  <si>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</si>
  <si>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</si>
  <si>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</si>
  <si>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</si>
  <si>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</si>
  <si>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</si>
  <si>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</si>
  <si>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</si>
  <si>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</si>
  <si>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</si>
  <si>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</si>
  <si>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</si>
  <si>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</si>
  <si>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</si>
  <si>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</si>
  <si>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</si>
  <si>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</si>
  <si>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</si>
  <si>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</si>
  <si>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</si>
  <si>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</si>
  <si>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</si>
  <si>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</si>
  <si>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</si>
  <si>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</si>
  <si>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</si>
  <si>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</si>
  <si>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</si>
  <si>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</si>
  <si>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</si>
  <si>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</si>
  <si>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</si>
  <si>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</si>
  <si>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</si>
  <si>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</si>
  <si>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</si>
  <si>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</si>
  <si>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</si>
  <si>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</si>
  <si>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</si>
  <si>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</si>
  <si>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</si>
  <si>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</si>
  <si>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</si>
  <si>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</si>
  <si>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</si>
  <si>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</si>
  <si>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</si>
  <si>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</si>
  <si>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</si>
  <si>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</si>
  <si>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</si>
  <si>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</si>
  <si>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</si>
  <si>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</si>
  <si>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</si>
  <si>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</si>
  <si>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</si>
  <si>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</si>
  <si>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</si>
  <si>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</si>
  <si>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</si>
  <si>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</si>
  <si>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</si>
  <si>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</si>
  <si>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</si>
  <si>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</si>
  <si>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</si>
  <si>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</si>
  <si>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</si>
  <si>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</si>
  <si>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</si>
  <si>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</si>
  <si>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</si>
  <si>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</si>
  <si>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</si>
  <si>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</si>
  <si>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</si>
  <si>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</si>
  <si>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</si>
  <si>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</si>
  <si>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</si>
  <si>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</si>
  <si>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</si>
  <si>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</si>
  <si>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</si>
  <si>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</si>
  <si>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</si>
  <si>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</si>
  <si>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</si>
  <si>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</si>
  <si>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</si>
  <si>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</si>
  <si>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</si>
  <si>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</si>
  <si>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</si>
  <si>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</si>
  <si>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</si>
  <si>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</si>
  <si>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</si>
  <si>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</si>
  <si>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</si>
  <si>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</si>
  <si>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</si>
  <si>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</si>
  <si>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</si>
  <si>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</si>
  <si>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</si>
  <si>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</si>
  <si>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</si>
  <si>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</si>
  <si>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</si>
  <si>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</si>
  <si>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</si>
  <si>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</si>
  <si>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</si>
  <si>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</si>
  <si>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</si>
  <si>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</si>
  <si>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</si>
  <si>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</si>
  <si>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</si>
  <si>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</si>
  <si>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</si>
  <si>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</si>
  <si>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</si>
  <si>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</si>
  <si>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</si>
  <si>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</si>
  <si>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</si>
  <si>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</si>
  <si>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</si>
  <si>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</si>
  <si>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</si>
  <si>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</si>
  <si>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</si>
  <si>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</si>
  <si>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</si>
  <si>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</si>
  <si>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</si>
  <si>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</si>
  <si>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</si>
  <si>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</si>
  <si>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</si>
  <si>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</si>
  <si>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</si>
  <si>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</si>
  <si>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</si>
  <si>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</si>
  <si>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</si>
  <si>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</si>
  <si>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</si>
  <si>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</si>
  <si>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</si>
  <si>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</si>
  <si>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</si>
  <si>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</si>
  <si>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</si>
  <si>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</si>
  <si>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</si>
  <si>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</si>
  <si>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</si>
  <si>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</si>
  <si>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</si>
  <si>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</si>
  <si>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</si>
  <si>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</si>
  <si>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</si>
  <si>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</si>
  <si>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</si>
  <si>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</si>
  <si>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</si>
  <si>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</si>
  <si>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</si>
  <si>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</si>
  <si>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</si>
  <si>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</si>
  <si>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</si>
  <si>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</si>
  <si>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</si>
  <si>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</si>
  <si>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</si>
  <si>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</si>
  <si>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</si>
  <si>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</si>
  <si>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</si>
  <si>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</si>
  <si>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</si>
  <si>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</si>
  <si>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</si>
  <si>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</si>
  <si>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</si>
  <si>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</si>
  <si>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</si>
  <si>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</si>
  <si>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</si>
  <si>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</si>
  <si>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</si>
  <si>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</si>
  <si>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</si>
  <si>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</si>
  <si>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</si>
  <si>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</si>
  <si>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</si>
  <si>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</si>
  <si>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</si>
  <si>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</si>
  <si>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</si>
  <si>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</si>
  <si>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</si>
  <si>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</si>
  <si>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</si>
  <si>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</si>
  <si>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</si>
  <si>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</si>
  <si>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</si>
  <si>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</si>
  <si>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</si>
  <si>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</si>
  <si>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</si>
  <si>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</si>
  <si>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</si>
  <si>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</si>
  <si>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</si>
  <si>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</si>
  <si>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</si>
  <si>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</si>
  <si>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</si>
  <si>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</si>
  <si>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</si>
  <si>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</si>
  <si>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</si>
  <si>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</si>
  <si>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</si>
  <si>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</si>
  <si>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</si>
  <si>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</si>
  <si>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</si>
  <si>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</si>
  <si>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</si>
  <si>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</si>
  <si>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</si>
  <si>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</si>
  <si>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</si>
  <si>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</si>
  <si>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</si>
  <si>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</si>
  <si>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</si>
  <si>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</si>
  <si>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</si>
  <si>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</si>
  <si>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</si>
  <si>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</si>
  <si>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</si>
  <si>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</si>
  <si>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</si>
  <si>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</si>
  <si>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</si>
  <si>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</si>
  <si>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</si>
  <si>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</si>
  <si>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</si>
  <si>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</si>
  <si>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</si>
  <si>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</si>
  <si>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</si>
  <si>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</si>
  <si>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</si>
  <si>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</si>
  <si>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北京凯华房地产开发有限公司</t>
    <phoneticPr fontId="6"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</si>
  <si>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</si>
  <si>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</si>
  <si>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</si>
  <si>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</si>
  <si>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</si>
  <si>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</si>
  <si>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</si>
  <si>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</si>
  <si>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</si>
  <si>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</si>
  <si>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</si>
  <si>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</si>
  <si>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</si>
  <si>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</si>
  <si>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</si>
  <si>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</si>
  <si>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</si>
  <si>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</si>
  <si>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工商银行商务区支行</t>
    <phoneticPr fontId="6" type="noConversion"/>
  </si>
  <si>
    <t>房山区周口店镇02街区02-0001地块</t>
    <phoneticPr fontId="6" type="noConversion"/>
  </si>
  <si>
    <t>地上</t>
  </si>
  <si>
    <t>地下</t>
  </si>
  <si>
    <t>仓储</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</si>
  <si>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</si>
  <si>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</si>
  <si>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</si>
  <si>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</si>
  <si>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</si>
  <si>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</si>
  <si>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</si>
  <si>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</si>
  <si>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</si>
  <si>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</si>
  <si>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</si>
  <si>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</si>
  <si>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</si>
  <si>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</si>
  <si>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</si>
  <si>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</si>
  <si>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</si>
  <si>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</si>
  <si>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</si>
  <si>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</si>
  <si>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</si>
  <si>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</si>
  <si>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</si>
  <si>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</si>
  <si>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</si>
  <si>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</si>
  <si>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</si>
  <si>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</si>
  <si>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</si>
  <si>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</si>
  <si>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</si>
  <si>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</si>
  <si>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</si>
  <si>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</si>
  <si>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</si>
  <si>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</si>
  <si>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</si>
  <si>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</si>
  <si>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</si>
  <si>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</si>
  <si>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</si>
  <si>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</si>
  <si>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</si>
  <si>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</si>
  <si>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</si>
  <si>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</si>
  <si>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</si>
  <si>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</si>
  <si>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</si>
  <si>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</si>
  <si>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</si>
  <si>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</si>
  <si>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</si>
  <si>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</si>
  <si>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</si>
  <si>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</si>
  <si>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</si>
  <si>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</si>
  <si>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</si>
  <si>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</si>
  <si>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</si>
  <si>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</si>
  <si>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</si>
  <si>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</si>
  <si>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人防口部</t>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</si>
  <si>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</si>
  <si>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</si>
  <si>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</si>
  <si>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平层住宅</t>
  </si>
  <si>
    <t>独立商业</t>
  </si>
  <si>
    <t>戊类库房</t>
  </si>
  <si>
    <t>车库</t>
  </si>
  <si>
    <t>住宅出售</t>
  </si>
  <si>
    <t>住宅出售</t>
    <phoneticPr fontId="7" type="noConversion"/>
  </si>
  <si>
    <t>住宅自持</t>
  </si>
  <si>
    <t>住宅自持</t>
    <phoneticPr fontId="7" type="noConversion"/>
  </si>
  <si>
    <t>地下仓储</t>
    <phoneticPr fontId="7" type="noConversion"/>
  </si>
  <si>
    <t>地下车库</t>
    <phoneticPr fontId="7" type="noConversion"/>
  </si>
  <si>
    <t>商业</t>
    <phoneticPr fontId="7" type="noConversion"/>
  </si>
  <si>
    <t>不动产收益法住</t>
  </si>
  <si>
    <t>不动产收益法住</t>
    <phoneticPr fontId="14" type="noConversion"/>
  </si>
  <si>
    <t>不动产收益法商</t>
  </si>
  <si>
    <t>不动产收益法商</t>
    <phoneticPr fontId="14" type="noConversion"/>
  </si>
  <si>
    <t>不动产收益法车</t>
  </si>
  <si>
    <t>不动产收益法车</t>
    <phoneticPr fontId="14" type="noConversion"/>
  </si>
  <si>
    <t>不动产收益法仓</t>
  </si>
  <si>
    <t>不动产收益法仓</t>
    <phoneticPr fontId="14" type="noConversion"/>
  </si>
  <si>
    <t>钢混</t>
  </si>
  <si>
    <t>土地（套用方法）</t>
  </si>
  <si>
    <t>押一</t>
  </si>
  <si>
    <t>地块名称</t>
  </si>
  <si>
    <t>城市</t>
  </si>
  <si>
    <t>用地性质</t>
  </si>
  <si>
    <t>区县</t>
  </si>
  <si>
    <t>出让方式</t>
  </si>
  <si>
    <t>建设用地面积(㎡)</t>
  </si>
  <si>
    <t>规划建筑面积(㎡)</t>
  </si>
  <si>
    <t>商业比例</t>
  </si>
  <si>
    <t>建筑密度</t>
  </si>
  <si>
    <t>限制高度</t>
  </si>
  <si>
    <t>保障房类型</t>
  </si>
  <si>
    <t>配建自住房情况</t>
  </si>
  <si>
    <t>推出特殊政策</t>
  </si>
  <si>
    <t>配建养老设施面积情况</t>
  </si>
  <si>
    <t>成交日期</t>
  </si>
  <si>
    <t>受让单位</t>
  </si>
  <si>
    <t>起始价(万元)</t>
  </si>
  <si>
    <t>成交价(万元)</t>
  </si>
  <si>
    <t>成交每亩价(万元/亩)</t>
  </si>
  <si>
    <t>成交楼面价(元/㎡)</t>
  </si>
  <si>
    <t>溢价率</t>
  </si>
  <si>
    <t>竞报整体自持比例(%)</t>
  </si>
  <si>
    <t>竞报商品住房自持比例(%)</t>
  </si>
  <si>
    <t>竞报商办部分自持比例(%)</t>
  </si>
  <si>
    <t>北京市房山区良乡镇中心区01-17-02等地块R2二类居住用地、B1商业用地</t>
  </si>
  <si>
    <t>综合用地(含住宅)</t>
  </si>
  <si>
    <t>房山区</t>
  </si>
  <si>
    <t>挂牌</t>
  </si>
  <si>
    <t>R2≤30%;B1≤45%</t>
  </si>
  <si>
    <t>R2≤45;B1≤60</t>
  </si>
  <si>
    <t>出让宗地居住建筑规模全部建设“共有产权住房”,销售价格26000元/平方米(含全装修费用)。</t>
  </si>
  <si>
    <t>限房价,含自住房/共有产权住房,含租赁用地</t>
  </si>
  <si>
    <t>2017-12-07</t>
  </si>
  <si>
    <t>北京金融街京西置业有限公司</t>
  </si>
  <si>
    <t>房山区拱辰街道16-01-07等地块(良乡高教园区西部生活区东区)</t>
  </si>
  <si>
    <t>限价房,</t>
  </si>
  <si>
    <t>2015-07-16</t>
  </si>
  <si>
    <t>北京天恒乐活城置业有限公司</t>
  </si>
  <si>
    <t>房山区阎村镇04街区04-0005等地块</t>
  </si>
  <si>
    <t>2015-11-24</t>
  </si>
  <si>
    <t>北京天恒乐活城置业有限公司和中粮地产(北京)有限公司联合体</t>
  </si>
  <si>
    <t>房山区周口店镇02-0001等地块R2二类居住用地</t>
  </si>
  <si>
    <t>住宅用地</t>
  </si>
  <si>
    <t>30%</t>
  </si>
  <si>
    <t>限地价,限房价,竞自持,报高标准商品住宅建设方案,90/70</t>
  </si>
  <si>
    <t>2017-07-18</t>
  </si>
  <si>
    <t>北京万科企业有限公司和深圳安创投资管理有限公司联合体</t>
  </si>
  <si>
    <t>住宅、商业</t>
  </si>
  <si>
    <t>住宅、商业</t>
    <phoneticPr fontId="26" type="noConversion"/>
  </si>
  <si>
    <t>住宅、商业、办公</t>
    <phoneticPr fontId="26" type="noConversion"/>
  </si>
  <si>
    <t>全部建共有产权房</t>
    <phoneticPr fontId="26" type="noConversion"/>
  </si>
  <si>
    <t>配建限价房</t>
    <phoneticPr fontId="26" type="noConversion"/>
  </si>
  <si>
    <t>特殊情况</t>
    <phoneticPr fontId="26" type="noConversion"/>
  </si>
  <si>
    <t>估价对象周边居住用地比例、居住小区规模和社区发展完善程度，周边有天恒摩墅等住宅项目，综合评价居住社区成熟度一般</t>
    <phoneticPr fontId="3" type="noConversion"/>
  </si>
  <si>
    <t>一般</t>
  </si>
  <si>
    <t>较差</t>
  </si>
  <si>
    <t>周边有官融小区、军旅港湾、住宅项目较少，居住社区成熟度较差</t>
    <phoneticPr fontId="26" type="noConversion"/>
  </si>
  <si>
    <t>周边有瑞雪春堂、昊天嘉园等多个项目，居住社区成熟度较好</t>
    <phoneticPr fontId="26" type="noConversion"/>
  </si>
  <si>
    <t>较好</t>
  </si>
  <si>
    <t>周边有紫欣苑、天恒乐活城等多个项目，居住社区成熟度较好</t>
    <phoneticPr fontId="26"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</si>
  <si>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</si>
  <si>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t>估价对象周边道路状况、公共交通通达情况：有836、917、房12等多路公交车，停车便捷程度，综合评价交通便捷度一般</t>
    <phoneticPr fontId="3" type="noConversion"/>
  </si>
  <si>
    <t>有地铁</t>
    <phoneticPr fontId="26" type="noConversion"/>
  </si>
  <si>
    <t>配建限价房</t>
    <phoneticPr fontId="26" type="noConversion"/>
  </si>
  <si>
    <t>无</t>
    <phoneticPr fontId="26" type="noConversion"/>
  </si>
  <si>
    <t>周边2公里区域自然环境：牛口峪公园、周口店人民公园；人文环境：北京猿人遗址；综合评价环境状况较好</t>
    <phoneticPr fontId="3" type="noConversion"/>
  </si>
  <si>
    <t>有北潞园健身公园、世纪之园</t>
    <phoneticPr fontId="26" type="noConversion"/>
  </si>
  <si>
    <t>有昊天公园、良香公园</t>
    <phoneticPr fontId="26" type="noConversion"/>
  </si>
  <si>
    <t>七通</t>
  </si>
  <si>
    <t>单面临街</t>
  </si>
  <si>
    <t>双面临街</t>
  </si>
  <si>
    <t>多面临街</t>
  </si>
  <si>
    <t>高速</t>
    <phoneticPr fontId="26" type="noConversion"/>
  </si>
  <si>
    <t>快速</t>
    <phoneticPr fontId="26" type="noConversion"/>
  </si>
  <si>
    <t>主</t>
  </si>
  <si>
    <t>主</t>
    <phoneticPr fontId="26" type="noConversion"/>
  </si>
  <si>
    <t>次</t>
  </si>
  <si>
    <t>次</t>
    <phoneticPr fontId="26" type="noConversion"/>
  </si>
  <si>
    <t>支</t>
    <phoneticPr fontId="26" type="noConversion"/>
  </si>
  <si>
    <t>京深路</t>
    <phoneticPr fontId="26" type="noConversion"/>
  </si>
  <si>
    <t>良深路</t>
    <phoneticPr fontId="26" type="noConversion"/>
  </si>
  <si>
    <t>京周路</t>
    <phoneticPr fontId="26" type="noConversion"/>
  </si>
  <si>
    <t>规则</t>
  </si>
  <si>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</si>
  <si>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</si>
  <si>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</si>
  <si>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</si>
  <si>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</si>
  <si>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</si>
  <si>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</si>
  <si>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</si>
  <si>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</si>
  <si>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</si>
  <si>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</si>
  <si>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楼面地价</t>
  </si>
  <si>
    <t>比较法-住宅、综合</t>
  </si>
  <si>
    <t>剩余法-待开发</t>
  </si>
  <si>
    <t>按租金收入计税</t>
  </si>
  <si>
    <t>.</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</si>
</sst>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149" fillId="0" borderId="0" xfId="0" applyFont="1" applyBorder="1" applyAlignment="1">
      <alignment horizontal="center" vertical="center"/>
    </xf>
    <xf numFmtId="0" fontId="167" fillId="0" borderId="0" xfId="0" applyFont="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6" xfId="0" applyFont="1" applyBorder="1">
      <alignment vertical="center"/>
    </xf>
    <xf numFmtId="0" fontId="152" fillId="17" borderId="6" xfId="0" applyFont="1" applyFill="1" applyBorder="1">
      <alignment vertical="center"/>
    </xf>
    <xf numFmtId="0" fontId="152" fillId="10" borderId="6" xfId="0" applyFont="1" applyFill="1" applyBorder="1">
      <alignment vertical="center"/>
    </xf>
    <xf numFmtId="0" fontId="152" fillId="0" borderId="11" xfId="0" applyFont="1" applyBorder="1" applyAlignment="1">
      <alignment horizontal="left" vertical="center"/>
    </xf>
    <xf numFmtId="0" fontId="152" fillId="18" borderId="12" xfId="0" applyFont="1" applyFill="1" applyBorder="1">
      <alignment vertical="center"/>
    </xf>
    <xf numFmtId="0" fontId="157" fillId="0" borderId="44" xfId="0" applyFont="1" applyBorder="1">
      <alignment vertical="center"/>
    </xf>
    <xf numFmtId="0" fontId="157" fillId="17" borderId="44" xfId="0" applyFont="1" applyFill="1" applyBorder="1">
      <alignment vertical="center"/>
    </xf>
    <xf numFmtId="0" fontId="157" fillId="10" borderId="44" xfId="0" applyFont="1" applyFill="1" applyBorder="1">
      <alignment vertical="center"/>
    </xf>
    <xf numFmtId="0" fontId="157" fillId="18" borderId="46" xfId="0" applyFont="1" applyFill="1" applyBorder="1">
      <alignment vertical="center"/>
    </xf>
    <xf numFmtId="0" fontId="152" fillId="0" borderId="50" xfId="0" applyFont="1" applyBorder="1" applyAlignment="1">
      <alignment horizontal="left" vertical="center"/>
    </xf>
    <xf numFmtId="0" fontId="152" fillId="18" borderId="51" xfId="0" applyFont="1" applyFill="1" applyBorder="1">
      <alignmen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01" fillId="18" borderId="34" xfId="0" applyFont="1" applyFill="1" applyBorder="1">
      <alignment vertical="center"/>
    </xf>
    <xf numFmtId="0" fontId="152" fillId="0" borderId="1" xfId="0" applyFont="1" applyBorder="1" applyAlignment="1">
      <alignment horizontal="left" vertical="center"/>
    </xf>
    <xf numFmtId="0" fontId="152" fillId="18" borderId="7" xfId="0" applyFont="1" applyFill="1" applyBorder="1">
      <alignment vertical="center"/>
    </xf>
    <xf numFmtId="0" fontId="152" fillId="0" borderId="43" xfId="0" applyFont="1" applyBorder="1" applyAlignment="1">
      <alignment horizontal="left" vertical="center"/>
    </xf>
    <xf numFmtId="0" fontId="235" fillId="0" borderId="44" xfId="0" applyFont="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79" fillId="18" borderId="46" xfId="0" applyFont="1" applyFill="1" applyBorder="1">
      <alignment vertical="center"/>
    </xf>
    <xf numFmtId="0" fontId="280" fillId="0" borderId="0" xfId="0" applyFont="1">
      <alignment vertical="center"/>
    </xf>
    <xf numFmtId="0" fontId="0" fillId="6" borderId="0" xfId="0" applyFill="1" applyAlignment="1"/>
    <xf numFmtId="0" fontId="0" fillId="19"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0" borderId="25" xfId="2" applyNumberFormat="1" applyFont="1" applyFill="1" applyBorder="1" applyAlignment="1" applyProtection="1">
      <alignment horizontal="center" vertical="center"/>
      <protection locked="0"/>
    </xf>
    <xf numFmtId="0" fontId="158" fillId="2" borderId="2" xfId="0" applyFont="1" applyFill="1" applyBorder="1" applyAlignment="1" applyProtection="1">
      <alignment horizontal="left" vertical="center" wrapText="1"/>
      <protection locked="0"/>
    </xf>
    <xf numFmtId="179"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7" fontId="86" fillId="0" borderId="2" xfId="2" applyNumberFormat="1" applyFont="1" applyFill="1" applyBorder="1" applyAlignment="1" applyProtection="1">
      <alignment horizontal="center" vertical="center"/>
      <protection locked="0"/>
    </xf>
    <xf numFmtId="177" fontId="84" fillId="0"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49" fillId="0" borderId="0" xfId="0" applyFont="1" applyBorder="1" applyAlignment="1">
      <alignment horizontal="center"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67933.359999999986</v>
          </cell>
          <cell r="C14">
            <v>22910.16</v>
          </cell>
        </row>
      </sheetData>
      <sheetData sheetId="17">
        <row r="38">
          <cell r="O38">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2656</v>
      </c>
      <c r="B1" s="2913" t="s">
        <v>2753</v>
      </c>
    </row>
    <row r="2" spans="1:55" s="2917" customFormat="1" ht="15" thickTop="1">
      <c r="A2" s="2915" t="s">
        <v>2660</v>
      </c>
      <c r="B2" s="2916" t="str">
        <f>'预评函-封皮'!B37</f>
        <v>北京市房山区周口店镇02街区02-0001地块出让国有建设用地使用权抵押价格预评估</v>
      </c>
      <c r="AX2" s="2918"/>
      <c r="AZ2" s="2918"/>
      <c r="BA2" s="2919"/>
      <c r="BC2" s="2919"/>
    </row>
    <row r="3" spans="1:55" s="2920" customFormat="1">
      <c r="A3" s="2899" t="s">
        <v>2661</v>
      </c>
      <c r="B3" s="2902" t="str">
        <f>'预评函-封皮'!B40</f>
        <v>北京凯华房地产开发有限公司</v>
      </c>
    </row>
    <row r="4" spans="1:55" s="2901" customFormat="1">
      <c r="A4" s="2899" t="s">
        <v>2662</v>
      </c>
      <c r="B4" s="2900" t="str">
        <f>'预评函-封皮'!B46</f>
        <v>土地估价师、土地估价师</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2663</v>
      </c>
      <c r="B5" s="2922" t="str">
        <f>'预评函-封皮'!B49</f>
        <v>康正预评字号</v>
      </c>
    </row>
    <row r="6" spans="1:55" s="2923" customFormat="1" ht="15" thickTop="1">
      <c r="A6" s="2915" t="s">
        <v>2705</v>
      </c>
      <c r="B6" s="2916" t="str">
        <f>'预评函-1'!A4</f>
        <v>受贵公司委托，我公司对北京市房山区周口店镇02街区02-0001地块出让国有建设用地使用权抵押价格进行了预评估。</v>
      </c>
      <c r="AM6" s="2924"/>
    </row>
    <row r="7" spans="1:55" s="2898" customFormat="1">
      <c r="A7" s="2899" t="s">
        <v>2657</v>
      </c>
      <c r="B7" s="2900" t="str">
        <f>'预评函-1'!A6</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8" spans="1:55" s="2898" customFormat="1">
      <c r="A8" s="2899" t="s">
        <v>2658</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2708</v>
      </c>
      <c r="B9" s="2900" t="str">
        <f>'预评函-1'!A9</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55" s="2898" customFormat="1">
      <c r="A10" s="2899" t="s">
        <v>2659</v>
      </c>
      <c r="B10" s="2900" t="str">
        <f>'预评函-1'!A11</f>
        <v>2018年5月14日（评估专业人员勘察现场之日）</v>
      </c>
    </row>
    <row r="11" spans="1:55" s="2898" customFormat="1">
      <c r="A11" s="2899" t="s">
        <v>2665</v>
      </c>
      <c r="B11" s="2900" t="str">
        <f>'预评函-1'!A14</f>
        <v>根据《国有土地使用证》[]，本次评估估价对象证载（地类）用途为。</v>
      </c>
    </row>
    <row r="12" spans="1:55" s="2898" customFormat="1">
      <c r="A12" s="2899" t="s">
        <v>2666</v>
      </c>
      <c r="B12" s="2900" t="str">
        <f>'预评函-1'!A15</f>
        <v>本次评估设定用途即为证载用途。</v>
      </c>
    </row>
    <row r="13" spans="1:55" s="2898" customFormat="1">
      <c r="A13" s="2899" t="s">
        <v>2667</v>
      </c>
      <c r="B13" s="2900" t="str">
        <f>'预评函-1'!A17</f>
        <v>根据委托估价方介绍及评估专业人员现场勘查，本次评估估价对象实际土地开发程度为红线外市政基础设施达“七通”（即通路、通电、通讯、通上水、通下水、、）、宗地红线内已开工建设。。</v>
      </c>
    </row>
    <row r="14" spans="1:55" s="2898" customFormat="1">
      <c r="A14" s="2899" t="s">
        <v>2668</v>
      </c>
      <c r="B14" s="2900"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8" customFormat="1">
      <c r="A15" s="2899" t="s">
        <v>2664</v>
      </c>
      <c r="B15" s="2900" t="str">
        <f>'预评函-1'!A20</f>
        <v>根据《国有土地使用证》[]，估价对象（分摊）出让国有建设用地使用权面积为62101.4平方米。根据《建设工程规划许可证》[]、《出让合同》[]，估价对象规划建筑面积为181951.64平方米。</v>
      </c>
    </row>
    <row r="16" spans="1:55" s="2898" customFormat="1">
      <c r="A16" s="2899" t="s">
        <v>2669</v>
      </c>
      <c r="B16" s="2900" t="str">
        <f>'预评函-1'!A22</f>
        <v>本次估价对象为出让国有建设用地使用权，《国有土地使用证》[]证载土地终止日期为住宅2087年8月28日、商业2057年8月28日地下车库2067年8月28日、地下仓储2067年8月28日。截至估价期日，出让国有建设用地使用权剩余土地使用年限为。</v>
      </c>
    </row>
    <row r="17" spans="1:48" s="2898" customFormat="1">
      <c r="A17" s="2899" t="s">
        <v>2670</v>
      </c>
      <c r="B17" s="2900" t="str">
        <f>'预评函-1'!A23</f>
        <v>本次评估设定估价对象剩余土地使用年限为。</v>
      </c>
    </row>
    <row r="18" spans="1:48" s="2898" customFormat="1">
      <c r="A18" s="2899" t="s">
        <v>2671</v>
      </c>
      <c r="B18" s="2900" t="str">
        <f>'预评函-1'!A25</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19" spans="1:48" s="2898" customFormat="1">
      <c r="A19" s="2899" t="s">
        <v>2672</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2673</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2674</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2675</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2676</v>
      </c>
      <c r="B23" s="2900" t="str">
        <f>'预评函-2'!K2</f>
        <v>估价期日：2018年5月14日</v>
      </c>
    </row>
    <row r="24" spans="1:48">
      <c r="A24" s="2899" t="s">
        <v>2677</v>
      </c>
      <c r="B24" s="2900" t="str">
        <f>'预评函-2'!R2</f>
        <v>估价期日的国有建设用地使用权性质：出让</v>
      </c>
    </row>
    <row r="25" spans="1:48">
      <c r="A25" s="2899" t="s">
        <v>2733</v>
      </c>
      <c r="B25" s="2900" t="str">
        <f>'预评函-2'!A3</f>
        <v>估价期日土地使用者</v>
      </c>
    </row>
    <row r="26" spans="1:48">
      <c r="A26" s="2899" t="s">
        <v>2709</v>
      </c>
      <c r="B26" s="2900" t="str">
        <f>'预评函-2'!A5</f>
        <v>中信开发</v>
      </c>
    </row>
    <row r="27" spans="1:48">
      <c r="A27" s="2899" t="s">
        <v>2734</v>
      </c>
      <c r="B27" s="2900" t="str">
        <f>'预评函-2'!B3</f>
        <v>宗地编号/不动产单元号</v>
      </c>
    </row>
    <row r="28" spans="1:48">
      <c r="A28" s="2899" t="s">
        <v>2710</v>
      </c>
      <c r="B28" s="2900" t="str">
        <f>'预评函-2'!B5</f>
        <v>11111111111</v>
      </c>
    </row>
    <row r="29" spans="1:48">
      <c r="A29" s="2899" t="s">
        <v>2736</v>
      </c>
      <c r="B29" s="2900">
        <f>'预评函-2'!C5</f>
        <v>22</v>
      </c>
    </row>
    <row r="30" spans="1:48">
      <c r="A30" s="2899" t="s">
        <v>2737</v>
      </c>
      <c r="B30" s="2900" t="str">
        <f>'预评函-2'!D3</f>
        <v>土地使用证编号/不动产权证书编号</v>
      </c>
    </row>
    <row r="31" spans="1:48">
      <c r="A31" s="2899" t="s">
        <v>2711</v>
      </c>
      <c r="B31" s="2900" t="str">
        <f>'预评函-2'!D5</f>
        <v>京国土字第111号</v>
      </c>
    </row>
    <row r="32" spans="1:48">
      <c r="A32" s="2899" t="s">
        <v>2712</v>
      </c>
      <c r="B32" s="2900">
        <f>'预评函-2'!E5</f>
        <v>0</v>
      </c>
      <c r="AV32" s="2904"/>
    </row>
    <row r="33" spans="1:2">
      <c r="A33" s="2899" t="s">
        <v>2713</v>
      </c>
      <c r="B33" s="2900">
        <f>'预评函-2'!F5</f>
        <v>258</v>
      </c>
    </row>
    <row r="34" spans="1:2">
      <c r="A34" s="2899" t="s">
        <v>2714</v>
      </c>
      <c r="B34" s="2900">
        <f>'预评函-2'!G5</f>
        <v>0</v>
      </c>
    </row>
    <row r="35" spans="1:2">
      <c r="A35" s="2899" t="s">
        <v>2715</v>
      </c>
      <c r="B35" s="2900">
        <f>'预评函-2'!H5</f>
        <v>1.5</v>
      </c>
    </row>
    <row r="36" spans="1:2">
      <c r="A36" s="2899" t="s">
        <v>2716</v>
      </c>
      <c r="B36" s="2900">
        <f>'预评函-2'!I5</f>
        <v>1.5</v>
      </c>
    </row>
    <row r="37" spans="1:2">
      <c r="A37" s="2899" t="s">
        <v>2717</v>
      </c>
      <c r="B37" s="2900">
        <f>'预评函-2'!J5</f>
        <v>1.5</v>
      </c>
    </row>
    <row r="38" spans="1:2">
      <c r="A38" s="2899" t="s">
        <v>2718</v>
      </c>
      <c r="B38" s="2900" t="str">
        <f>'预评函-2'!K5</f>
        <v>红线外七通、宗地红线内宗地内已开工建设</v>
      </c>
    </row>
    <row r="39" spans="1:2">
      <c r="A39" s="2899" t="s">
        <v>2719</v>
      </c>
      <c r="B39" s="2900" t="str">
        <f>'预评函-2'!L5</f>
        <v>红线外七通、宗地红线内场地平整</v>
      </c>
    </row>
    <row r="40" spans="1:2">
      <c r="A40" s="2899" t="s">
        <v>2738</v>
      </c>
      <c r="B40" s="2900" t="str">
        <f>'预评函-2'!M3</f>
        <v>（剩余）土地使用年限/年</v>
      </c>
    </row>
    <row r="41" spans="1:2">
      <c r="A41" s="2899" t="s">
        <v>2720</v>
      </c>
      <c r="B41" s="2900">
        <f>'预评函-2'!M5</f>
        <v>0</v>
      </c>
    </row>
    <row r="42" spans="1:2">
      <c r="A42" s="2899" t="s">
        <v>2739</v>
      </c>
      <c r="B42" s="2900" t="str">
        <f>'预评函-2'!N3</f>
        <v>（分摊）出让国有建设用地使用权面积/㎡</v>
      </c>
    </row>
    <row r="43" spans="1:2">
      <c r="A43" s="2899" t="s">
        <v>2721</v>
      </c>
      <c r="B43" s="2900">
        <f>'预评函-2'!N5</f>
        <v>62101.4</v>
      </c>
    </row>
    <row r="44" spans="1:2">
      <c r="A44" s="2899" t="s">
        <v>2740</v>
      </c>
      <c r="B44" s="2900" t="str">
        <f>'预评函-2'!O3</f>
        <v>规划建筑面积/㎡</v>
      </c>
    </row>
    <row r="45" spans="1:2">
      <c r="A45" s="2899" t="s">
        <v>2722</v>
      </c>
      <c r="B45" s="2900">
        <f>'预评函-2'!O5</f>
        <v>181951.64</v>
      </c>
    </row>
    <row r="46" spans="1:2">
      <c r="A46" s="2899" t="s">
        <v>2723</v>
      </c>
      <c r="B46" s="2900">
        <f ca="1">'预评函-2'!P5</f>
        <v>22584</v>
      </c>
    </row>
    <row r="47" spans="1:2">
      <c r="A47" s="2899" t="s">
        <v>2724</v>
      </c>
      <c r="B47" s="2900">
        <f ca="1">'预评函-2'!Q5</f>
        <v>7708</v>
      </c>
    </row>
    <row r="48" spans="1:2">
      <c r="A48" s="2899" t="s">
        <v>2725</v>
      </c>
      <c r="B48" s="2900">
        <f ca="1">'预评函-2'!R5</f>
        <v>140249</v>
      </c>
    </row>
    <row r="49" spans="1:2">
      <c r="A49" s="2899" t="s">
        <v>2741</v>
      </c>
      <c r="B49" s="2900" t="str">
        <f>'预评函-2'!A6</f>
        <v>抵押价格</v>
      </c>
    </row>
    <row r="50" spans="1:2">
      <c r="A50" s="2899" t="s">
        <v>2726</v>
      </c>
      <c r="B50" s="2900">
        <f ca="1">'预评函-2'!R6</f>
        <v>140249</v>
      </c>
    </row>
    <row r="51" spans="1:2">
      <c r="A51" s="2899" t="s">
        <v>2742</v>
      </c>
      <c r="B51" s="2900" t="str">
        <f>'预评函-2'!A7</f>
        <v>——</v>
      </c>
    </row>
    <row r="52" spans="1:2">
      <c r="A52" s="2899" t="s">
        <v>2727</v>
      </c>
      <c r="B52" s="2900" t="str">
        <f>'预评函-2'!R7</f>
        <v>——</v>
      </c>
    </row>
    <row r="53" spans="1:2">
      <c r="A53" s="2899" t="s">
        <v>2743</v>
      </c>
      <c r="B53" s="2900">
        <f>'预评函-2'!A8</f>
        <v>0</v>
      </c>
    </row>
    <row r="54" spans="1:2" s="2914" customFormat="1" ht="15" thickBot="1">
      <c r="A54" s="2921" t="s">
        <v>2728</v>
      </c>
      <c r="B54" s="2922" t="str">
        <f>'预评函-2'!R8</f>
        <v>——</v>
      </c>
    </row>
    <row r="55" spans="1:2" ht="15" thickTop="1">
      <c r="A55" s="2910" t="s">
        <v>2678</v>
      </c>
      <c r="B55" s="2911" t="str">
        <f>'预评函-3'!A2</f>
        <v>1.权利限制：根据估价对象《不动产权证书》原件、《国有土地使用权》复印件，截至估价期日，估价对象抵押权未见登记。未设定租赁等其他他项权利。</v>
      </c>
    </row>
    <row r="56" spans="1:2">
      <c r="A56" s="2899" t="s">
        <v>2679</v>
      </c>
      <c r="B56" s="2900" t="str">
        <f>'预评函-3'!A3</f>
        <v>2.基础设施条件：估价对象实际开发程度为红线外七通、宗地红线内宗地内已开工建设；本次评估设定开发程度为红线外七通、宗地红线内场地平整。</v>
      </c>
    </row>
    <row r="57" spans="1:2">
      <c r="A57" s="2899" t="s">
        <v>2680</v>
      </c>
      <c r="B57" s="2900" t="str">
        <f>'预评函-3'!A4</f>
        <v>3.估价规划限制条件：详见《建设工程规划许可证》[]、《出让合同》[]。</v>
      </c>
    </row>
    <row r="58" spans="1:2" s="2914" customFormat="1" ht="15" thickBot="1">
      <c r="A58" s="2921" t="s">
        <v>2729</v>
      </c>
      <c r="B58" s="2922" t="str">
        <f>'预评函-3'!A5</f>
        <v>4.影响价格的其他限定条件：无。</v>
      </c>
    </row>
    <row r="59" spans="1:2" ht="15" thickTop="1">
      <c r="A59" s="2910" t="s">
        <v>2681</v>
      </c>
      <c r="B59" s="2911" t="str">
        <f>'预评函-3'!A8</f>
        <v>2.本《评估意见函》仅供金融机构进行内部审核使用，不做其他目的之用。</v>
      </c>
    </row>
    <row r="60" spans="1:2">
      <c r="A60" s="2899" t="s">
        <v>2682</v>
      </c>
      <c r="B60" s="2900" t="str">
        <f>'预评函-3'!A9</f>
        <v>3.抵押双方在办理抵押登记手续时，应使用本公司出具的正式《土地估价报告》，特提请报告使用者注意。</v>
      </c>
    </row>
    <row r="61" spans="1:2">
      <c r="A61" s="2899" t="s">
        <v>2684</v>
      </c>
      <c r="B61" s="2900" t="str">
        <f>'预评函-3'!A10</f>
        <v>4.估价师所知悉的法定优先受偿款情况为：</v>
      </c>
    </row>
    <row r="62" spans="1:2">
      <c r="A62" s="2899" t="s">
        <v>2683</v>
      </c>
      <c r="B62" s="2900" t="str">
        <f>'预评函-3'!A11</f>
        <v>（1）根据估价对象《不动产权证书》原件、《国有土地使用权》复印件，截至估价期日，估价对象抵押权未见登记。</v>
      </c>
    </row>
    <row r="63" spans="1:2">
      <c r="A63" s="2899" t="s">
        <v>2685</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2686</v>
      </c>
      <c r="B64" s="2905" t="str">
        <f>'预评函-3'!A13</f>
        <v>（3）。</v>
      </c>
    </row>
    <row r="65" spans="1:2">
      <c r="A65" s="2899" t="s">
        <v>2687</v>
      </c>
      <c r="B65" s="2906" t="str">
        <f>'预评函-3'!A14</f>
        <v>综上，本次评估不存在估价师知悉的法定优先受偿款</v>
      </c>
    </row>
    <row r="66" spans="1:2">
      <c r="A66" s="2899" t="s">
        <v>2688</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2689</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2692</v>
      </c>
      <c r="B68" s="2925">
        <f>'预评函-3'!D30</f>
        <v>42558</v>
      </c>
    </row>
    <row r="69" spans="1:2" ht="15" thickTop="1">
      <c r="A69" s="2910" t="s">
        <v>2690</v>
      </c>
      <c r="B69" s="2911" t="str">
        <f>'预评函-3'!A20</f>
        <v>土地估价师</v>
      </c>
    </row>
    <row r="70" spans="1:2">
      <c r="A70" s="2899" t="s">
        <v>2690</v>
      </c>
      <c r="B70" s="2906">
        <f>'预评函-3'!B20</f>
        <v>0</v>
      </c>
    </row>
    <row r="71" spans="1:2">
      <c r="A71" s="2899" t="s">
        <v>2691</v>
      </c>
      <c r="B71" s="2900" t="str">
        <f>'预评函-3'!A21</f>
        <v>土地估价师</v>
      </c>
    </row>
    <row r="72" spans="1:2" s="2914" customFormat="1" ht="15" thickBot="1">
      <c r="A72" s="2921" t="s">
        <v>2691</v>
      </c>
      <c r="B72" s="2927">
        <f>'预评函-3'!B21</f>
        <v>0</v>
      </c>
    </row>
    <row r="73" spans="1:2" ht="15" thickTop="1">
      <c r="A73" s="2910" t="s">
        <v>2750</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2751</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2752</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2787</v>
      </c>
      <c r="B76" s="2909"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22" zoomScale="90" zoomScaleNormal="100" zoomScaleSheetLayoutView="90" workbookViewId="0">
      <selection activeCell="G43" sqref="G43"/>
    </sheetView>
  </sheetViews>
  <sheetFormatPr defaultColWidth="10" defaultRowHeight="14.25"/>
  <cols>
    <col min="1" max="1" width="15.375" style="1687" customWidth="1"/>
    <col min="2" max="2" width="11.375" style="1687" customWidth="1"/>
    <col min="3" max="3" width="12.625" style="1687" customWidth="1"/>
    <col min="4" max="4" width="12.7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1936</v>
      </c>
      <c r="B1" s="3298" t="str">
        <f>IF(B10="北京市","北京市",C10)&amp;F10&amp;B16&amp;"国有建设用地使用权"&amp;B9&amp;"预评估"</f>
        <v>北京市房山区周口店镇02街区02-0001地块出让国有建设用地使用权抵押价格预评估</v>
      </c>
      <c r="C1" s="3299"/>
      <c r="D1" s="3299"/>
      <c r="E1" s="3299"/>
      <c r="F1" s="3299"/>
      <c r="G1" s="3299"/>
      <c r="H1" s="3299"/>
      <c r="I1" s="3300"/>
      <c r="J1" s="1690"/>
      <c r="K1" s="2476" t="str">
        <f>IF(B10="北京市","北京市",C10)&amp;F10&amp;B16&amp;"国有建设用地使用权"&amp;B9</f>
        <v>北京市房山区周口店镇02街区02-0001地块出让国有建设用地使用权抵押价格</v>
      </c>
      <c r="L1" s="1719"/>
      <c r="M1" s="1719"/>
      <c r="N1" s="1690"/>
      <c r="O1" s="1691"/>
      <c r="P1" s="1690"/>
      <c r="Q1" s="1690"/>
      <c r="R1" s="1690"/>
      <c r="S1" s="1690"/>
      <c r="T1" s="1690"/>
      <c r="U1" s="1690"/>
    </row>
    <row r="2" spans="1:21">
      <c r="A2" s="1656" t="s">
        <v>1937</v>
      </c>
      <c r="B2" s="1838"/>
      <c r="D2" s="1690"/>
      <c r="E2" s="1690"/>
      <c r="F2" s="1690"/>
      <c r="G2" s="1690"/>
      <c r="H2" s="1656"/>
      <c r="I2" s="1691"/>
      <c r="J2" s="1690"/>
      <c r="K2" s="2476" t="str">
        <f>IF(B10="北京市","北京市",C10)&amp;F10&amp;B16&amp;"国有建设用地使用权"</f>
        <v>北京市房山区周口店镇02街区02-0001地块出让国有建设用地使用权</v>
      </c>
      <c r="L2" s="1719"/>
      <c r="M2" s="1719"/>
      <c r="N2" s="1690"/>
      <c r="O2" s="1691"/>
      <c r="P2" s="1690"/>
      <c r="Q2" s="1690"/>
      <c r="R2" s="1690"/>
      <c r="S2" s="1690"/>
      <c r="T2" s="1690"/>
      <c r="U2" s="1690"/>
    </row>
    <row r="3" spans="1:21">
      <c r="A3" s="1657" t="s">
        <v>1938</v>
      </c>
      <c r="B3" s="1658">
        <v>43234</v>
      </c>
      <c r="C3" s="1659" t="s">
        <v>1994</v>
      </c>
      <c r="D3" s="1658">
        <f>B3</f>
        <v>43234</v>
      </c>
      <c r="E3" s="1690"/>
      <c r="F3" s="1690"/>
      <c r="G3" s="1690"/>
      <c r="H3" s="1656"/>
      <c r="I3" s="1691"/>
      <c r="J3" s="1690"/>
      <c r="K3" s="1770"/>
      <c r="L3" s="1719"/>
      <c r="M3" s="1719"/>
      <c r="N3" s="1690"/>
      <c r="O3" s="1691"/>
      <c r="P3" s="1690"/>
      <c r="Q3" s="1690"/>
      <c r="R3" s="1690"/>
      <c r="S3" s="1690"/>
      <c r="T3" s="1690"/>
      <c r="U3" s="1690"/>
    </row>
    <row r="4" spans="1:21" ht="15" thickBot="1">
      <c r="A4" s="1660" t="s">
        <v>1939</v>
      </c>
      <c r="B4" s="1839" t="s">
        <v>2889</v>
      </c>
      <c r="C4" s="1842">
        <f>SUMIF(土地估价师,B4,估价师及机构信息!E3:E24)</f>
        <v>0</v>
      </c>
      <c r="D4" s="1839" t="s">
        <v>2889</v>
      </c>
      <c r="E4" s="1842">
        <f>SUMIF(土地估价师,D4,估价师及机构信息!E3:E24)</f>
        <v>0</v>
      </c>
      <c r="F4" s="1839" t="s">
        <v>948</v>
      </c>
      <c r="G4" s="1842">
        <f>SUMIF(土地估价师,F4,估价师及机构信息!E3:E24)</f>
        <v>0</v>
      </c>
      <c r="H4" s="1839" t="s">
        <v>948</v>
      </c>
      <c r="I4" s="1842">
        <f>SUMIF(土地估价师,H4,估价师及机构信息!E3:E24)</f>
        <v>0</v>
      </c>
      <c r="J4" s="1690"/>
      <c r="K4" s="2476"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1940</v>
      </c>
      <c r="B5" s="1785" t="s">
        <v>2981</v>
      </c>
      <c r="C5" s="1662"/>
      <c r="D5" s="1663"/>
      <c r="E5" s="1690"/>
      <c r="F5" s="1690"/>
      <c r="G5" s="1690"/>
      <c r="H5" s="1656"/>
      <c r="I5" s="1691"/>
      <c r="J5" s="1690"/>
      <c r="K5" s="1770"/>
      <c r="L5" s="1719"/>
      <c r="M5" s="1719"/>
      <c r="N5" s="1690"/>
      <c r="O5" s="1691"/>
      <c r="P5" s="1690"/>
      <c r="Q5" s="1690"/>
      <c r="R5" s="1690"/>
      <c r="S5" s="1690"/>
      <c r="T5" s="1690"/>
      <c r="U5" s="1690"/>
    </row>
    <row r="6" spans="1:21" ht="26.25">
      <c r="A6" s="1659" t="s">
        <v>2706</v>
      </c>
      <c r="B6" s="1785" t="s">
        <v>3000</v>
      </c>
      <c r="C6" s="1757"/>
      <c r="D6" s="1664"/>
      <c r="E6" s="1690"/>
      <c r="F6" s="1690"/>
      <c r="G6" s="1690"/>
      <c r="H6" s="1656"/>
      <c r="I6" s="1691"/>
      <c r="J6" s="1690"/>
      <c r="K6" s="3074" t="str">
        <f>IF(COUNTIF(B6,"*上海银行*"),"上海银行","")</f>
        <v/>
      </c>
      <c r="L6" s="1719"/>
      <c r="M6" s="1719"/>
      <c r="N6" s="1690"/>
      <c r="O6" s="1691"/>
      <c r="P6" s="1690"/>
      <c r="Q6" s="1690"/>
      <c r="R6" s="1690"/>
      <c r="S6" s="1690"/>
      <c r="T6" s="1690"/>
      <c r="U6" s="1690"/>
    </row>
    <row r="7" spans="1:21">
      <c r="A7" s="1665" t="s">
        <v>2707</v>
      </c>
      <c r="B7" s="1785" t="str">
        <f>B5</f>
        <v>北京凯华房地产开发有限公司</v>
      </c>
      <c r="C7" s="1757"/>
      <c r="D7" s="1664"/>
      <c r="E7" s="1690"/>
      <c r="F7" s="1690"/>
      <c r="G7" s="1690"/>
      <c r="H7" s="1656"/>
      <c r="I7" s="1691"/>
      <c r="J7" s="1690"/>
      <c r="K7" s="1770"/>
      <c r="L7" s="1719"/>
      <c r="M7" s="1719"/>
      <c r="N7" s="1690"/>
      <c r="O7" s="1691"/>
      <c r="P7" s="1690"/>
      <c r="Q7" s="1690"/>
      <c r="R7" s="1690"/>
      <c r="S7" s="1690"/>
      <c r="T7" s="1690"/>
      <c r="U7" s="1690"/>
    </row>
    <row r="8" spans="1:21">
      <c r="A8" s="1665" t="s">
        <v>1941</v>
      </c>
      <c r="B8" s="1666" t="s">
        <v>2982</v>
      </c>
      <c r="C8" s="1667"/>
      <c r="D8" s="3304" t="s">
        <v>1943</v>
      </c>
      <c r="E8" s="1840" t="s">
        <v>2983</v>
      </c>
      <c r="F8" s="1668"/>
      <c r="G8" s="1656"/>
      <c r="H8" s="1656"/>
      <c r="I8" s="1703"/>
      <c r="J8" s="1690"/>
      <c r="K8" s="1770"/>
      <c r="L8" s="1719"/>
      <c r="M8" s="1719"/>
      <c r="N8" s="1690"/>
      <c r="O8" s="1691"/>
      <c r="P8" s="1690"/>
      <c r="Q8" s="1690"/>
      <c r="R8" s="1690"/>
      <c r="S8" s="1690"/>
      <c r="T8" s="1690"/>
      <c r="U8" s="1690"/>
    </row>
    <row r="9" spans="1:21" ht="15" thickBot="1">
      <c r="A9" s="1669" t="s">
        <v>1942</v>
      </c>
      <c r="B9" s="1670" t="s">
        <v>2983</v>
      </c>
      <c r="C9" s="1671"/>
      <c r="D9" s="3305"/>
      <c r="E9" s="1670"/>
      <c r="F9" s="1743"/>
      <c r="G9" s="1738"/>
      <c r="H9" s="1738"/>
      <c r="I9" s="1739"/>
      <c r="J9" s="1690"/>
      <c r="K9" s="1770"/>
      <c r="L9" s="1719"/>
      <c r="M9" s="1719"/>
      <c r="N9" s="1690"/>
      <c r="O9" s="1691"/>
      <c r="P9" s="1690"/>
      <c r="Q9" s="1690"/>
      <c r="R9" s="1690"/>
      <c r="S9" s="1690"/>
      <c r="T9" s="1690"/>
      <c r="U9" s="1690"/>
    </row>
    <row r="10" spans="1:21" ht="15" thickTop="1">
      <c r="A10" s="1740" t="s">
        <v>1998</v>
      </c>
      <c r="B10" s="1715" t="s">
        <v>1944</v>
      </c>
      <c r="C10" s="1672"/>
      <c r="D10" s="1663"/>
      <c r="E10" s="1673" t="s">
        <v>1945</v>
      </c>
      <c r="F10" s="1674" t="s">
        <v>3001</v>
      </c>
      <c r="G10" s="1741"/>
      <c r="H10" s="1742"/>
      <c r="I10" s="1663"/>
      <c r="J10" s="1690"/>
      <c r="K10" s="1770"/>
      <c r="L10" s="1719"/>
      <c r="M10" s="1719"/>
      <c r="N10" s="1690"/>
      <c r="O10" s="1691"/>
      <c r="P10" s="1690"/>
      <c r="Q10" s="1690"/>
      <c r="R10" s="1690"/>
      <c r="S10" s="1690"/>
      <c r="T10" s="1690"/>
      <c r="U10" s="1690"/>
    </row>
    <row r="11" spans="1:21" ht="42.75">
      <c r="A11" s="1693" t="s">
        <v>1999</v>
      </c>
      <c r="B11" s="1694" t="s">
        <v>2984</v>
      </c>
      <c r="C11" s="1675" t="str">
        <f>B5</f>
        <v>北京凯华房地产开发有限公司</v>
      </c>
      <c r="D11" s="1758"/>
      <c r="E11" s="1656"/>
      <c r="F11" s="1656"/>
      <c r="G11" s="1656"/>
      <c r="H11" s="1656"/>
      <c r="I11" s="1656"/>
      <c r="J11" s="1690"/>
      <c r="K11" s="1770"/>
      <c r="L11" s="1719"/>
      <c r="M11" s="1719"/>
      <c r="N11" s="1690"/>
      <c r="O11" s="1691"/>
      <c r="P11" s="1690"/>
      <c r="Q11" s="1690"/>
      <c r="R11" s="1690"/>
      <c r="S11" s="1690"/>
      <c r="T11" s="1690"/>
      <c r="U11" s="1690"/>
    </row>
    <row r="12" spans="1:21">
      <c r="A12" s="1781" t="s">
        <v>2057</v>
      </c>
      <c r="B12" s="3301"/>
      <c r="C12" s="3302"/>
      <c r="D12" s="3303"/>
      <c r="E12" s="1695" t="s">
        <v>2060</v>
      </c>
      <c r="F12" s="3319" t="s">
        <v>2890</v>
      </c>
      <c r="G12" s="3320"/>
      <c r="H12" s="3320"/>
      <c r="I12" s="3321"/>
      <c r="J12" s="1690"/>
      <c r="K12" s="1770"/>
      <c r="L12" s="1719"/>
      <c r="M12" s="1719"/>
      <c r="N12" s="1690"/>
      <c r="O12" s="1691"/>
      <c r="P12" s="1690"/>
      <c r="Q12" s="1690"/>
      <c r="R12" s="1690"/>
      <c r="S12" s="1690"/>
      <c r="T12" s="1690"/>
      <c r="U12" s="1690"/>
    </row>
    <row r="13" spans="1:21">
      <c r="A13" s="1683" t="s">
        <v>2058</v>
      </c>
      <c r="B13" s="3301"/>
      <c r="C13" s="3302"/>
      <c r="D13" s="3303"/>
      <c r="E13" s="1695" t="s">
        <v>2060</v>
      </c>
      <c r="F13" s="3319" t="s">
        <v>2891</v>
      </c>
      <c r="G13" s="3320"/>
      <c r="H13" s="3320"/>
      <c r="I13" s="3321"/>
      <c r="J13" s="1690"/>
      <c r="K13" s="1770"/>
      <c r="L13" s="1719"/>
      <c r="M13" s="1719"/>
      <c r="N13" s="1690"/>
      <c r="O13" s="1691"/>
      <c r="P13" s="1690"/>
      <c r="Q13" s="1690"/>
      <c r="R13" s="1690"/>
      <c r="S13" s="1690"/>
      <c r="T13" s="1690"/>
      <c r="U13" s="1690"/>
    </row>
    <row r="14" spans="1:21">
      <c r="A14" s="1657" t="s">
        <v>2061</v>
      </c>
      <c r="B14" s="1695"/>
      <c r="C14" s="1841" t="s">
        <v>2985</v>
      </c>
      <c r="D14" s="1729" t="str">
        <f>IF(C14="不一致","是否符合证载地类范围","")</f>
        <v/>
      </c>
      <c r="E14" s="1695"/>
      <c r="F14" s="1786" t="s">
        <v>2986</v>
      </c>
      <c r="G14" s="1724"/>
      <c r="H14" s="1724"/>
      <c r="I14" s="1833"/>
      <c r="J14" s="1690"/>
      <c r="K14" s="1770"/>
      <c r="L14" s="1719"/>
      <c r="M14" s="1719"/>
      <c r="N14" s="1690"/>
      <c r="O14" s="1691"/>
      <c r="P14" s="1690"/>
      <c r="Q14" s="1690"/>
      <c r="R14" s="1690"/>
      <c r="S14" s="1690"/>
      <c r="T14" s="1690"/>
      <c r="U14" s="1690"/>
    </row>
    <row r="15" spans="1:21" hidden="1">
      <c r="A15" s="2666"/>
      <c r="B15" s="1659"/>
      <c r="C15" s="1659"/>
      <c r="D15" s="1762" t="s">
        <v>1948</v>
      </c>
      <c r="E15" s="1762" t="s">
        <v>1949</v>
      </c>
      <c r="F15" s="1762" t="s">
        <v>1950</v>
      </c>
      <c r="G15" s="1682" t="s">
        <v>1951</v>
      </c>
      <c r="H15" s="1682" t="s">
        <v>1952</v>
      </c>
      <c r="I15" s="1682" t="s">
        <v>1953</v>
      </c>
      <c r="J15" s="1690"/>
      <c r="K15" s="1770"/>
      <c r="L15" s="1719"/>
      <c r="M15" s="1719"/>
      <c r="N15" s="1690"/>
      <c r="O15" s="1691"/>
      <c r="P15" s="1690"/>
      <c r="Q15" s="1690"/>
      <c r="R15" s="1690"/>
      <c r="S15" s="1690"/>
      <c r="T15" s="1690"/>
      <c r="U15" s="1690"/>
    </row>
    <row r="16" spans="1:21" ht="42.75">
      <c r="A16" s="1676" t="s">
        <v>1946</v>
      </c>
      <c r="B16" s="1677" t="s">
        <v>2987</v>
      </c>
      <c r="C16" s="1695" t="s">
        <v>1947</v>
      </c>
      <c r="D16" s="2667" t="s">
        <v>1948</v>
      </c>
      <c r="E16" s="1718" t="s">
        <v>2988</v>
      </c>
      <c r="F16" s="1718"/>
      <c r="G16" s="1718" t="s">
        <v>35</v>
      </c>
      <c r="H16" s="1718" t="s">
        <v>2989</v>
      </c>
      <c r="I16" s="1682" t="s">
        <v>1953</v>
      </c>
      <c r="J16" s="1690"/>
      <c r="K16" s="2477" t="str">
        <f>IF(D17="","",D16&amp;TEXT(D17,"yyyy年m月d日;;"))</f>
        <v>住宅2087年8月28日</v>
      </c>
      <c r="L16" s="1695" t="str">
        <f>IF(OR(K16="",M16=""),"","、")</f>
        <v>、</v>
      </c>
      <c r="M16" s="2477" t="str">
        <f>IF(E17="","",E16&amp;TEXT(E17,"yyyy年m月d日;;"))</f>
        <v>商业2057年8月28日</v>
      </c>
      <c r="N16" s="1695" t="str">
        <f>IF(OR(M16="",O16=""),"","、")</f>
        <v/>
      </c>
      <c r="O16" s="2477" t="str">
        <f>IF(F17="","",F16&amp;TEXT(F17,"yyyy年m月d日;;"))</f>
        <v/>
      </c>
      <c r="P16" s="1695" t="str">
        <f>IF(OR(O16="",Q16=""),"","、")</f>
        <v/>
      </c>
      <c r="Q16" s="2477" t="str">
        <f>IF(G17="","",G16&amp;TEXT(G17,"yyyy年m月d日;;"))</f>
        <v>地下车库2067年8月28日</v>
      </c>
      <c r="R16" s="1695" t="str">
        <f>IF(OR(Q16="",S16=""),"","、")</f>
        <v>、</v>
      </c>
      <c r="S16" s="2477" t="str">
        <f>IF(H17="","",H16&amp;TEXT(H17,"yyyy年m月d日;;"))</f>
        <v>地下仓储2067年8月28日</v>
      </c>
      <c r="T16" s="1695" t="str">
        <f>IF(OR(S16="",U16=""),"","、")</f>
        <v/>
      </c>
      <c r="U16" s="2477" t="str">
        <f>IF(I17="","",I16&amp;TEXT(I17,"yyyy年m月d日;;"))</f>
        <v/>
      </c>
    </row>
    <row r="17" spans="1:21">
      <c r="A17" s="1759"/>
      <c r="B17" s="1678"/>
      <c r="C17" s="1679" t="s">
        <v>1954</v>
      </c>
      <c r="D17" s="1696">
        <v>68542</v>
      </c>
      <c r="E17" s="1696">
        <v>57585</v>
      </c>
      <c r="F17" s="1696"/>
      <c r="G17" s="1696">
        <v>61237</v>
      </c>
      <c r="H17" s="1696">
        <f>G17</f>
        <v>61237</v>
      </c>
      <c r="I17" s="1696"/>
      <c r="J17" s="1690"/>
      <c r="K17" s="2476" t="str">
        <f>CONCATENATE(K16,L16,M16,N16,O16,P16,Q16,R16,S16,T16,,U16)</f>
        <v>住宅2087年8月28日、商业2057年8月28日地下车库2067年8月28日、地下仓储2067年8月28日</v>
      </c>
      <c r="L17" s="1719"/>
      <c r="M17" s="1719"/>
      <c r="N17" s="1690"/>
      <c r="O17" s="1691"/>
      <c r="P17" s="1690"/>
      <c r="Q17" s="1690"/>
      <c r="R17" s="1690"/>
      <c r="S17" s="1690"/>
      <c r="T17" s="1690"/>
      <c r="U17" s="1690"/>
    </row>
    <row r="18" spans="1:21">
      <c r="A18" s="1759"/>
      <c r="B18" s="1678"/>
      <c r="C18" s="1679" t="s">
        <v>1955</v>
      </c>
      <c r="D18" s="1680">
        <v>70</v>
      </c>
      <c r="E18" s="1680">
        <v>40</v>
      </c>
      <c r="F18" s="1680"/>
      <c r="G18" s="1680">
        <v>50</v>
      </c>
      <c r="H18" s="1680">
        <v>50</v>
      </c>
      <c r="I18" s="1680"/>
      <c r="J18" s="1690"/>
      <c r="K18" s="1770"/>
      <c r="L18" s="1719"/>
      <c r="M18" s="1719"/>
      <c r="N18" s="1690"/>
      <c r="O18" s="1691"/>
      <c r="P18" s="1690"/>
      <c r="Q18" s="1690"/>
      <c r="R18" s="1690"/>
      <c r="S18" s="1690"/>
      <c r="T18" s="1690"/>
      <c r="U18" s="1690"/>
    </row>
    <row r="19" spans="1:21">
      <c r="A19" s="1759"/>
      <c r="B19" s="1678"/>
      <c r="C19" s="1656" t="s">
        <v>1956</v>
      </c>
      <c r="D19" s="1754">
        <f>IF(B16="出让",IF(D17="","",ROUNDDOWN(MIN((D17-$D$3)/365,D18),2)),D18)</f>
        <v>69.33</v>
      </c>
      <c r="E19" s="1681">
        <f>IF(B16="出让",IF(E17="","",ROUNDDOWN(MIN((E17-$D$3)/365,E18),2)),E18)</f>
        <v>39.31</v>
      </c>
      <c r="F19" s="1681" t="str">
        <f>IF(B16="出让",IF(F17="","",ROUNDDOWN(MIN((F17-$D$3)/365,F18),2)),F18)</f>
        <v/>
      </c>
      <c r="G19" s="1681">
        <f>IF(B16="出让",IF(G17="","",ROUNDDOWN(MIN((G17-$D$3)/365,G18),2)),G18)</f>
        <v>49.32</v>
      </c>
      <c r="H19" s="1681">
        <f>IF(B16="出让",IF(H17="","",ROUNDDOWN(MIN((H17-$D$3)/365,H18),2)),H18)</f>
        <v>49.32</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2059</v>
      </c>
      <c r="D20" s="3316"/>
      <c r="E20" s="3317"/>
      <c r="F20" s="3317"/>
      <c r="G20" s="3317"/>
      <c r="H20" s="3317"/>
      <c r="I20" s="3318"/>
      <c r="J20" s="1690"/>
      <c r="K20" s="1770"/>
      <c r="L20" s="1719"/>
      <c r="M20" s="1719"/>
      <c r="N20" s="1690"/>
      <c r="O20" s="1691"/>
      <c r="P20" s="1690"/>
      <c r="Q20" s="1690"/>
      <c r="R20" s="1690"/>
      <c r="S20" s="1690"/>
      <c r="T20" s="1690"/>
      <c r="U20" s="1690"/>
    </row>
    <row r="21" spans="1:21">
      <c r="A21" s="1759" t="s">
        <v>1957</v>
      </c>
      <c r="B21" s="1760" t="s">
        <v>1958</v>
      </c>
      <c r="C21" s="1755">
        <f>'数据-汇总表'!E3</f>
        <v>181951.64</v>
      </c>
      <c r="D21" s="1756" t="s">
        <v>1959</v>
      </c>
      <c r="E21" s="3306" t="s">
        <v>1997</v>
      </c>
      <c r="F21" s="3307"/>
      <c r="G21" s="3307"/>
      <c r="H21" s="3307"/>
      <c r="I21" s="3308"/>
      <c r="J21" s="1690"/>
      <c r="K21" s="1770"/>
      <c r="L21" s="1719"/>
      <c r="M21" s="1719"/>
      <c r="N21" s="1690"/>
      <c r="O21" s="1691"/>
      <c r="P21" s="1690"/>
      <c r="Q21" s="1690"/>
      <c r="R21" s="1690"/>
      <c r="S21" s="1690"/>
      <c r="T21" s="1690"/>
      <c r="U21" s="1690"/>
    </row>
    <row r="22" spans="1:21">
      <c r="A22" s="3172" t="s">
        <v>948</v>
      </c>
      <c r="B22" s="1657" t="s">
        <v>1960</v>
      </c>
      <c r="C22" s="1682">
        <f>'数据-汇总表'!D3</f>
        <v>62101.4</v>
      </c>
      <c r="D22" s="1683" t="s">
        <v>1959</v>
      </c>
      <c r="E22" s="3306" t="s">
        <v>2892</v>
      </c>
      <c r="F22" s="3307"/>
      <c r="G22" s="3307"/>
      <c r="H22" s="3307"/>
      <c r="I22" s="3308"/>
      <c r="J22" s="1690"/>
      <c r="K22" s="1770"/>
      <c r="L22" s="1719"/>
      <c r="M22" s="1719"/>
      <c r="N22" s="1690"/>
      <c r="O22" s="1691"/>
      <c r="P22" s="1690"/>
      <c r="Q22" s="1690"/>
      <c r="R22" s="1690"/>
      <c r="S22" s="1690"/>
      <c r="T22" s="1690"/>
      <c r="U22" s="1690"/>
    </row>
    <row r="23" spans="1:21" ht="29.25" thickBot="1">
      <c r="A23" s="1761" t="s">
        <v>1961</v>
      </c>
      <c r="B23" s="1697" t="s">
        <v>1962</v>
      </c>
      <c r="C23" s="1698" t="s">
        <v>2990</v>
      </c>
      <c r="D23" s="1699" t="s">
        <v>1963</v>
      </c>
      <c r="E23" s="1700" t="s">
        <v>2990</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1964</v>
      </c>
      <c r="B24" s="3309" t="s">
        <v>1965</v>
      </c>
      <c r="C24" s="3310"/>
      <c r="D24" s="3311" t="s">
        <v>1966</v>
      </c>
      <c r="E24" s="3312"/>
      <c r="F24" s="1704" t="s">
        <v>1967</v>
      </c>
      <c r="G24" s="1690"/>
      <c r="H24" s="1690"/>
      <c r="I24" s="1703"/>
      <c r="J24" s="1690"/>
      <c r="K24" s="3297" t="s">
        <v>1968</v>
      </c>
      <c r="L24" s="247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9"/>
      <c r="N24" s="1690"/>
      <c r="O24" s="1691"/>
      <c r="P24" s="1690"/>
      <c r="Q24" s="1690"/>
      <c r="R24" s="1690"/>
      <c r="S24" s="1690"/>
      <c r="T24" s="1690"/>
      <c r="U24" s="1690"/>
    </row>
    <row r="25" spans="1:21" ht="28.5">
      <c r="A25" s="1747"/>
      <c r="B25" s="1744" t="s">
        <v>2324</v>
      </c>
      <c r="C25" s="1705" t="s">
        <v>1969</v>
      </c>
      <c r="D25" s="1706"/>
      <c r="E25" s="1707" t="s">
        <v>948</v>
      </c>
      <c r="F25" s="1708"/>
      <c r="G25" s="1690"/>
      <c r="H25" s="1690"/>
      <c r="I25" s="1703"/>
      <c r="J25" s="1690"/>
      <c r="K25" s="3297"/>
      <c r="L25" s="247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9"/>
      <c r="N25" s="1690"/>
      <c r="O25" s="1691"/>
      <c r="P25" s="1690"/>
      <c r="Q25" s="1690"/>
      <c r="R25" s="1690"/>
      <c r="S25" s="1690"/>
      <c r="T25" s="1690"/>
      <c r="U25" s="1690"/>
    </row>
    <row r="26" spans="1:21" ht="29.25" thickBot="1">
      <c r="A26" s="1748"/>
      <c r="B26" s="1745" t="s">
        <v>1970</v>
      </c>
      <c r="C26" s="1705" t="s">
        <v>2325</v>
      </c>
      <c r="D26" s="1656"/>
      <c r="E26" s="1656"/>
      <c r="F26" s="1684"/>
      <c r="G26" s="1690"/>
      <c r="H26" s="1690"/>
      <c r="I26" s="1703"/>
      <c r="J26" s="1690"/>
      <c r="K26" s="3297"/>
      <c r="L26" s="247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72"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73"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73"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74"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83" t="s">
        <v>2000</v>
      </c>
      <c r="B31" s="1760" t="s">
        <v>2001</v>
      </c>
      <c r="C31" s="3322" t="s">
        <v>2991</v>
      </c>
      <c r="D31" s="3323"/>
      <c r="E31" s="1690"/>
      <c r="F31" s="1690"/>
      <c r="G31" s="1690"/>
      <c r="H31" s="1690"/>
      <c r="I31" s="1703"/>
      <c r="J31" s="1690"/>
      <c r="K31" s="2479"/>
      <c r="L31" s="1690"/>
      <c r="M31" s="1690"/>
      <c r="N31" s="1690"/>
      <c r="O31" s="1690"/>
      <c r="P31" s="1690"/>
      <c r="Q31" s="1690"/>
      <c r="R31" s="1690"/>
      <c r="S31" s="1690"/>
      <c r="T31" s="1690"/>
      <c r="U31" s="1690"/>
    </row>
    <row r="32" spans="1:21">
      <c r="A32" s="3283"/>
      <c r="B32" s="1657" t="s">
        <v>2002</v>
      </c>
      <c r="C32" s="1715" t="s">
        <v>2992</v>
      </c>
      <c r="D32" s="1716"/>
      <c r="E32" s="1690"/>
      <c r="F32" s="1690"/>
      <c r="G32" s="1690"/>
      <c r="H32" s="1690"/>
      <c r="I32" s="1703"/>
      <c r="J32" s="1690"/>
      <c r="K32" s="2479"/>
      <c r="L32" s="1690"/>
      <c r="M32" s="1690"/>
      <c r="N32" s="1690"/>
      <c r="O32" s="1690"/>
      <c r="P32" s="1690"/>
      <c r="Q32" s="1690"/>
      <c r="R32" s="1690"/>
      <c r="S32" s="1690"/>
      <c r="T32" s="1690"/>
      <c r="U32" s="1690"/>
    </row>
    <row r="33" spans="1:21">
      <c r="A33" s="3283"/>
      <c r="B33" s="1657" t="s">
        <v>2003</v>
      </c>
      <c r="C33" s="1717"/>
      <c r="D33" s="1834"/>
      <c r="E33" s="1690"/>
      <c r="F33" s="1690"/>
      <c r="G33" s="1690"/>
      <c r="H33" s="1690"/>
      <c r="I33" s="1703"/>
      <c r="J33" s="1690"/>
      <c r="K33" s="2479"/>
      <c r="L33" s="1690"/>
      <c r="M33" s="1690"/>
      <c r="N33" s="1690"/>
      <c r="O33" s="1690"/>
      <c r="P33" s="1690"/>
      <c r="Q33" s="1690"/>
      <c r="R33" s="1690"/>
      <c r="S33" s="1690"/>
      <c r="T33" s="1690"/>
      <c r="U33" s="1690"/>
    </row>
    <row r="34" spans="1:21">
      <c r="A34" s="3284"/>
      <c r="B34" s="1657" t="s">
        <v>2004</v>
      </c>
      <c r="C34" s="3285"/>
      <c r="D34" s="3286"/>
      <c r="E34" s="1690"/>
      <c r="F34" s="1690"/>
      <c r="G34" s="1690"/>
      <c r="H34" s="1690"/>
      <c r="I34" s="1703"/>
      <c r="J34" s="1690"/>
      <c r="K34" s="2479"/>
      <c r="L34" s="1690"/>
      <c r="M34" s="1690"/>
      <c r="N34" s="1690"/>
      <c r="O34" s="1690"/>
      <c r="P34" s="1690"/>
      <c r="Q34" s="1690"/>
      <c r="R34" s="1690"/>
      <c r="S34" s="1690"/>
      <c r="T34" s="1690"/>
      <c r="U34" s="1690"/>
    </row>
    <row r="35" spans="1:21" ht="28.5">
      <c r="A35" s="3287" t="s">
        <v>843</v>
      </c>
      <c r="B35" s="1718" t="s">
        <v>2993</v>
      </c>
      <c r="C35" s="1772" t="str">
        <f>IF(B35="场地平整","——","具体情况：")</f>
        <v>具体情况：</v>
      </c>
      <c r="D35" s="3289"/>
      <c r="E35" s="3290"/>
      <c r="F35" s="3290"/>
      <c r="G35" s="3290"/>
      <c r="H35" s="3290"/>
      <c r="I35" s="3291"/>
      <c r="J35" s="1690"/>
      <c r="K35" s="1771"/>
      <c r="L35" s="1719"/>
      <c r="M35" s="1719"/>
      <c r="N35" s="1690"/>
      <c r="O35" s="1691"/>
      <c r="P35" s="1690"/>
      <c r="Q35" s="1690"/>
      <c r="R35" s="1690"/>
      <c r="S35" s="1690"/>
      <c r="T35" s="1690"/>
      <c r="U35" s="1690"/>
    </row>
    <row r="36" spans="1:21">
      <c r="A36" s="3283"/>
      <c r="B36" s="3292" t="s">
        <v>2053</v>
      </c>
      <c r="C36" s="3293"/>
      <c r="D36" s="1788" t="s">
        <v>2994</v>
      </c>
      <c r="E36" s="3294"/>
      <c r="F36" s="3294"/>
      <c r="G36" s="1683" t="str">
        <f>IF(B35="场地未平整","估价结果处理","")</f>
        <v/>
      </c>
      <c r="H36" s="3295"/>
      <c r="I36" s="3295"/>
      <c r="J36" s="1690"/>
      <c r="K36" s="1771"/>
      <c r="L36" s="1719"/>
      <c r="M36" s="1719"/>
      <c r="N36" s="1690"/>
      <c r="O36" s="1691"/>
      <c r="P36" s="1690"/>
      <c r="Q36" s="1690"/>
      <c r="R36" s="1690"/>
      <c r="S36" s="1690"/>
      <c r="T36" s="1690"/>
      <c r="U36" s="1690"/>
    </row>
    <row r="37" spans="1:21" ht="28.5">
      <c r="A37" s="3283"/>
      <c r="B37" s="3313" t="s">
        <v>844</v>
      </c>
      <c r="C37" s="1720" t="s">
        <v>845</v>
      </c>
      <c r="D37" s="1721">
        <v>43314</v>
      </c>
      <c r="E37" s="1722"/>
      <c r="F37" s="1690"/>
      <c r="G37" s="1690"/>
      <c r="H37" s="1690"/>
      <c r="I37" s="1703"/>
      <c r="J37" s="1690"/>
      <c r="K37" s="1771"/>
      <c r="L37" s="1690"/>
      <c r="M37" s="1690"/>
      <c r="N37" s="1690"/>
      <c r="O37" s="1690"/>
      <c r="P37" s="1690"/>
      <c r="Q37" s="1690"/>
      <c r="R37" s="1690"/>
      <c r="S37" s="1690"/>
      <c r="T37" s="1690"/>
      <c r="U37" s="1690"/>
    </row>
    <row r="38" spans="1:21">
      <c r="A38" s="3283"/>
      <c r="B38" s="3314"/>
      <c r="C38" s="1665" t="s">
        <v>846</v>
      </c>
      <c r="D38" s="1787">
        <f>ROUNDDOWN(MIN(('数据-取费表'!$B$2-D37)/365,D34),1)</f>
        <v>-0.2</v>
      </c>
      <c r="E38" s="1723" t="s">
        <v>847</v>
      </c>
      <c r="F38" s="1690"/>
      <c r="G38" s="1690"/>
      <c r="H38" s="1690"/>
      <c r="I38" s="1703"/>
      <c r="J38" s="1690"/>
      <c r="K38" s="1771"/>
      <c r="L38" s="1690"/>
      <c r="M38" s="1690"/>
      <c r="N38" s="1690"/>
      <c r="O38" s="1690"/>
      <c r="P38" s="1690"/>
      <c r="Q38" s="1690"/>
      <c r="R38" s="1690"/>
      <c r="S38" s="1690"/>
      <c r="T38" s="1690"/>
      <c r="U38" s="1690"/>
    </row>
    <row r="39" spans="1:21">
      <c r="A39" s="3284"/>
      <c r="B39" s="3315"/>
      <c r="C39" s="1693" t="str">
        <f>IF(D38&lt;1,"不存在土地闲置",IF(B35="宗地内已开工建设","已开工，不存在土地闲置","估价对象已涉嫌土地闲置"))</f>
        <v>不存在土地闲置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2995</v>
      </c>
      <c r="C40" s="1686" t="s">
        <v>2996</v>
      </c>
      <c r="D40" s="1686" t="s">
        <v>2997</v>
      </c>
      <c r="E40" s="1686" t="s">
        <v>2998</v>
      </c>
      <c r="F40" s="1686" t="s">
        <v>2999</v>
      </c>
      <c r="G40" s="1686"/>
      <c r="H40" s="1686"/>
      <c r="I40" s="1703"/>
      <c r="J40" s="1690"/>
      <c r="K40" s="1726">
        <f>COUNTIF(B40:H40,"——")</f>
        <v>0</v>
      </c>
      <c r="L40" s="1695" t="s">
        <v>1977</v>
      </c>
      <c r="M40" s="1692" t="s">
        <v>1978</v>
      </c>
      <c r="N40" s="1692" t="s">
        <v>1979</v>
      </c>
      <c r="O40" s="1692" t="s">
        <v>1980</v>
      </c>
      <c r="P40" s="1692" t="s">
        <v>1981</v>
      </c>
      <c r="Q40" s="1692" t="s">
        <v>1982</v>
      </c>
      <c r="R40" s="1692" t="s">
        <v>1983</v>
      </c>
      <c r="S40" s="3296" t="s">
        <v>1984</v>
      </c>
      <c r="T40" s="1727" t="str">
        <f>NUMBERSTRING(7-K40,1)&amp;"通"</f>
        <v>七通</v>
      </c>
      <c r="U40" s="1690"/>
    </row>
    <row r="41" spans="1:21">
      <c r="A41" s="1659"/>
      <c r="B41" s="3288" t="s">
        <v>1718</v>
      </c>
      <c r="C41" s="3288"/>
      <c r="D41" s="3288"/>
      <c r="E41" s="3288"/>
      <c r="F41" s="1728">
        <f>C10</f>
        <v>0</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v>
      </c>
      <c r="R41" s="1730" t="str">
        <f>B40&amp;"、"&amp;C40&amp;"、"&amp;D40&amp;"、"&amp;E40&amp;"、"&amp;F40&amp;"、"&amp;G40&amp;"、"&amp;H40</f>
        <v>通路、通电、通讯、通上水、通下水、、</v>
      </c>
      <c r="S41" s="3296"/>
      <c r="T41" s="1729" t="str">
        <f>IF(T40="一通",L41,IF(T40="二通",M41,IF(T40="三通",N41,IF(T40="四通",O41,IF(T40="五通",P41,IF(T40="六通",Q41,R41))))))</f>
        <v>通路、通电、通讯、通上水、通下水、、</v>
      </c>
      <c r="U41" s="1690"/>
    </row>
    <row r="42" spans="1:21">
      <c r="A42" s="1731"/>
      <c r="B42" s="1762" t="s">
        <v>1894</v>
      </c>
      <c r="C42" s="1762" t="s">
        <v>1895</v>
      </c>
      <c r="D42" s="1762" t="s">
        <v>1896</v>
      </c>
      <c r="E42" s="1695" t="s">
        <v>1897</v>
      </c>
      <c r="F42" s="1732"/>
      <c r="G42" s="1690"/>
      <c r="H42" s="1690"/>
      <c r="I42" s="1703"/>
      <c r="J42" s="1690"/>
      <c r="K42" s="1770"/>
      <c r="L42" s="1719"/>
      <c r="M42" s="1719"/>
      <c r="N42" s="1690"/>
      <c r="O42" s="1691"/>
      <c r="P42" s="1690"/>
      <c r="Q42" s="1690"/>
      <c r="R42" s="1690"/>
      <c r="S42" s="1690"/>
      <c r="T42" s="1690"/>
      <c r="U42" s="1690"/>
    </row>
    <row r="43" spans="1:21">
      <c r="A43" s="1733" t="s">
        <v>1703</v>
      </c>
      <c r="B43" s="1734" t="s">
        <v>1416</v>
      </c>
      <c r="C43" s="1734" t="s">
        <v>1416</v>
      </c>
      <c r="D43" s="1734" t="s">
        <v>1416</v>
      </c>
      <c r="E43" s="1734"/>
      <c r="F43" s="1735"/>
      <c r="G43" s="1690"/>
      <c r="H43" s="1690"/>
      <c r="I43" s="1703"/>
      <c r="J43" s="1690"/>
      <c r="K43" s="1770"/>
      <c r="L43" s="1719"/>
      <c r="M43" s="1719"/>
      <c r="N43" s="1690"/>
      <c r="O43" s="1691"/>
      <c r="P43" s="1690"/>
      <c r="Q43" s="1690"/>
      <c r="R43" s="1690"/>
      <c r="S43" s="1690"/>
      <c r="T43" s="1690"/>
      <c r="U43" s="1690"/>
    </row>
    <row r="44" spans="1:21">
      <c r="A44" s="1733" t="s">
        <v>1704</v>
      </c>
      <c r="B44" s="1734" t="s">
        <v>1117</v>
      </c>
      <c r="C44" s="1734" t="s">
        <v>1117</v>
      </c>
      <c r="D44" s="1734" t="s">
        <v>1117</v>
      </c>
      <c r="E44" s="1788"/>
      <c r="F44" s="1735"/>
      <c r="G44" s="1690"/>
      <c r="H44" s="1690"/>
      <c r="I44" s="1703"/>
      <c r="J44" s="1690"/>
      <c r="K44" s="1770"/>
      <c r="L44" s="1719"/>
      <c r="M44" s="1719"/>
      <c r="N44" s="1690"/>
      <c r="O44" s="1691"/>
      <c r="P44" s="1690"/>
      <c r="Q44" s="1690"/>
      <c r="R44" s="1690"/>
      <c r="S44" s="1690"/>
      <c r="T44" s="1690"/>
      <c r="U44" s="1690"/>
    </row>
    <row r="45" spans="1:21" s="3091" customFormat="1" ht="21" thickBot="1">
      <c r="A45" s="3092" t="s">
        <v>2893</v>
      </c>
      <c r="B45" s="3087"/>
      <c r="C45" s="3087"/>
      <c r="D45" s="3087"/>
      <c r="E45" s="3087"/>
      <c r="F45" s="3087"/>
      <c r="G45" s="3087"/>
      <c r="H45" s="3087"/>
      <c r="I45" s="3088"/>
      <c r="J45" s="3087"/>
      <c r="K45" s="3089"/>
      <c r="L45" s="3090"/>
      <c r="M45" s="3090"/>
      <c r="N45" s="3087"/>
      <c r="O45" s="3088"/>
      <c r="P45" s="3087"/>
      <c r="Q45" s="3087"/>
      <c r="R45" s="3087"/>
      <c r="S45" s="3087"/>
      <c r="T45" s="3087"/>
      <c r="U45" s="3087"/>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2005</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2006</v>
      </c>
      <c r="B48" s="1682" t="s">
        <v>2007</v>
      </c>
      <c r="C48" s="1682" t="s">
        <v>2008</v>
      </c>
      <c r="D48" s="1682" t="s">
        <v>2009</v>
      </c>
      <c r="E48" s="1682" t="s">
        <v>2010</v>
      </c>
      <c r="F48" s="1682" t="s">
        <v>2011</v>
      </c>
      <c r="G48" s="1682" t="s">
        <v>2012</v>
      </c>
      <c r="H48" s="1682" t="s">
        <v>2013</v>
      </c>
      <c r="I48" s="1682" t="s">
        <v>2014</v>
      </c>
      <c r="J48" s="1768" t="s">
        <v>2015</v>
      </c>
      <c r="K48" s="1762" t="s">
        <v>2016</v>
      </c>
      <c r="L48" s="1762" t="s">
        <v>2017</v>
      </c>
      <c r="M48" s="1762" t="s">
        <v>2018</v>
      </c>
      <c r="N48" s="1682" t="s">
        <v>2019</v>
      </c>
      <c r="O48" s="1682" t="s">
        <v>2020</v>
      </c>
      <c r="P48" s="1682" t="s">
        <v>2021</v>
      </c>
      <c r="Q48" s="1695" t="s">
        <v>2022</v>
      </c>
      <c r="R48" s="1695" t="s">
        <v>2023</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1"/>
  <sheetViews>
    <sheetView workbookViewId="0">
      <selection activeCell="G62" sqref="G62"/>
    </sheetView>
  </sheetViews>
  <sheetFormatPr defaultRowHeight="14.25"/>
  <cols>
    <col min="1" max="1" width="9" style="3181"/>
    <col min="2" max="2" width="7.125" style="3181" customWidth="1"/>
    <col min="3" max="3" width="16.375" style="3181" customWidth="1"/>
    <col min="4" max="4" width="8.25" style="3181" customWidth="1"/>
    <col min="5" max="5" width="9.125" style="3181" customWidth="1"/>
    <col min="6" max="16384" width="9" style="3181"/>
  </cols>
  <sheetData>
    <row r="1" spans="1:25" s="2961" customFormat="1" ht="13.5">
      <c r="A1" s="2961" t="s">
        <v>3095</v>
      </c>
      <c r="B1" s="2961" t="s">
        <v>3096</v>
      </c>
      <c r="C1" s="2961" t="s">
        <v>3097</v>
      </c>
      <c r="D1" s="2961" t="s">
        <v>3098</v>
      </c>
      <c r="E1" s="2961" t="s">
        <v>3099</v>
      </c>
      <c r="F1" s="2961" t="s">
        <v>3100</v>
      </c>
      <c r="G1" s="2961" t="s">
        <v>3101</v>
      </c>
      <c r="H1" s="2961" t="s">
        <v>2031</v>
      </c>
      <c r="I1" s="2961" t="s">
        <v>3102</v>
      </c>
      <c r="J1" s="2961" t="s">
        <v>3103</v>
      </c>
      <c r="K1" s="2961" t="s">
        <v>3104</v>
      </c>
      <c r="L1" s="2961" t="s">
        <v>3105</v>
      </c>
      <c r="M1" s="2961" t="s">
        <v>3106</v>
      </c>
      <c r="N1" s="2961" t="s">
        <v>3107</v>
      </c>
      <c r="O1" s="2961" t="s">
        <v>3108</v>
      </c>
      <c r="P1" s="2961" t="s">
        <v>3109</v>
      </c>
      <c r="Q1" s="2961" t="s">
        <v>3110</v>
      </c>
      <c r="R1" s="2961" t="s">
        <v>3111</v>
      </c>
      <c r="S1" s="2961" t="s">
        <v>3112</v>
      </c>
      <c r="T1" s="2961" t="s">
        <v>3113</v>
      </c>
      <c r="U1" s="2961" t="s">
        <v>3114</v>
      </c>
      <c r="V1" s="2961" t="s">
        <v>3115</v>
      </c>
      <c r="W1" s="2961" t="s">
        <v>3116</v>
      </c>
      <c r="X1" s="2961" t="s">
        <v>3117</v>
      </c>
      <c r="Y1" s="2961" t="s">
        <v>3118</v>
      </c>
    </row>
    <row r="2" spans="1:25" s="3220" customFormat="1" ht="13.5">
      <c r="A2" s="3220" t="s">
        <v>3119</v>
      </c>
      <c r="B2" s="3220" t="s">
        <v>1944</v>
      </c>
      <c r="C2" s="3220" t="s">
        <v>3120</v>
      </c>
      <c r="D2" s="3220" t="s">
        <v>3121</v>
      </c>
      <c r="E2" s="3220" t="s">
        <v>3122</v>
      </c>
      <c r="F2" s="3220">
        <v>59994</v>
      </c>
      <c r="G2" s="3220">
        <v>123171</v>
      </c>
      <c r="H2" s="3220">
        <v>2.0499999999999998</v>
      </c>
      <c r="I2" s="3220" t="s">
        <v>2818</v>
      </c>
      <c r="J2" s="3220" t="s">
        <v>3123</v>
      </c>
      <c r="K2" s="3220" t="s">
        <v>3124</v>
      </c>
      <c r="L2" s="3220" t="s">
        <v>2818</v>
      </c>
      <c r="M2" s="3220" t="s">
        <v>3125</v>
      </c>
      <c r="N2" s="3220" t="s">
        <v>3126</v>
      </c>
      <c r="O2" s="3220" t="s">
        <v>2818</v>
      </c>
      <c r="P2" s="3220" t="s">
        <v>3127</v>
      </c>
      <c r="Q2" s="3220" t="s">
        <v>3128</v>
      </c>
      <c r="R2" s="3220">
        <v>161500</v>
      </c>
      <c r="S2" s="3220">
        <v>182000</v>
      </c>
      <c r="T2" s="3220">
        <v>2022.42</v>
      </c>
      <c r="U2" s="3220">
        <v>14776.2</v>
      </c>
      <c r="V2" s="3220">
        <v>12.69</v>
      </c>
      <c r="W2" s="3220" t="s">
        <v>2818</v>
      </c>
      <c r="X2" s="3220" t="s">
        <v>2818</v>
      </c>
      <c r="Y2" s="3220" t="s">
        <v>2818</v>
      </c>
    </row>
    <row r="3" spans="1:25" s="3220" customFormat="1" ht="13.5">
      <c r="A3" s="3220" t="s">
        <v>3129</v>
      </c>
      <c r="B3" s="3220" t="s">
        <v>1944</v>
      </c>
      <c r="C3" s="3220" t="s">
        <v>3120</v>
      </c>
      <c r="D3" s="3220" t="s">
        <v>3121</v>
      </c>
      <c r="E3" s="3220" t="s">
        <v>3122</v>
      </c>
      <c r="F3" s="3220">
        <v>112608</v>
      </c>
      <c r="G3" s="3220">
        <v>226086</v>
      </c>
      <c r="H3" s="3220">
        <v>2</v>
      </c>
      <c r="I3" s="3220" t="s">
        <v>2818</v>
      </c>
      <c r="J3" s="3220" t="s">
        <v>2818</v>
      </c>
      <c r="K3" s="3220" t="s">
        <v>2818</v>
      </c>
      <c r="L3" s="3220" t="s">
        <v>3130</v>
      </c>
      <c r="M3" s="3220" t="s">
        <v>2818</v>
      </c>
      <c r="N3" s="3220" t="s">
        <v>2818</v>
      </c>
      <c r="O3" s="3220" t="s">
        <v>2818</v>
      </c>
      <c r="P3" s="3220" t="s">
        <v>3131</v>
      </c>
      <c r="Q3" s="3220" t="s">
        <v>3132</v>
      </c>
      <c r="R3" s="3220">
        <v>227000</v>
      </c>
      <c r="S3" s="3220">
        <v>317800</v>
      </c>
      <c r="T3" s="3220">
        <v>1881.45</v>
      </c>
      <c r="U3" s="3220">
        <v>14056.6</v>
      </c>
      <c r="V3" s="3220">
        <v>40</v>
      </c>
      <c r="W3" s="3220" t="s">
        <v>2818</v>
      </c>
      <c r="X3" s="3220" t="s">
        <v>2818</v>
      </c>
      <c r="Y3" s="3220" t="s">
        <v>2818</v>
      </c>
    </row>
    <row r="4" spans="1:25" s="3220" customFormat="1" ht="13.5">
      <c r="A4" s="3220" t="s">
        <v>3133</v>
      </c>
      <c r="B4" s="3220" t="s">
        <v>1944</v>
      </c>
      <c r="C4" s="3220" t="s">
        <v>3120</v>
      </c>
      <c r="D4" s="3220" t="s">
        <v>3121</v>
      </c>
      <c r="E4" s="3220" t="s">
        <v>3122</v>
      </c>
      <c r="F4" s="3220">
        <v>116825</v>
      </c>
      <c r="G4" s="3220">
        <v>192061</v>
      </c>
      <c r="H4" s="3220">
        <v>1.65</v>
      </c>
      <c r="I4" s="3220" t="s">
        <v>2818</v>
      </c>
      <c r="J4" s="3220" t="s">
        <v>2818</v>
      </c>
      <c r="K4" s="3220" t="s">
        <v>2818</v>
      </c>
      <c r="L4" s="3220" t="s">
        <v>3130</v>
      </c>
      <c r="M4" s="3220" t="s">
        <v>2818</v>
      </c>
      <c r="N4" s="3220" t="s">
        <v>2818</v>
      </c>
      <c r="O4" s="3220" t="s">
        <v>2818</v>
      </c>
      <c r="P4" s="3220" t="s">
        <v>3134</v>
      </c>
      <c r="Q4" s="3220" t="s">
        <v>3135</v>
      </c>
      <c r="R4" s="3220">
        <v>192100</v>
      </c>
      <c r="S4" s="3220">
        <v>266000</v>
      </c>
      <c r="T4" s="3220">
        <v>1517.94</v>
      </c>
      <c r="U4" s="3220">
        <v>13849.77</v>
      </c>
      <c r="V4" s="3220">
        <v>38.47</v>
      </c>
      <c r="W4" s="3220" t="s">
        <v>2818</v>
      </c>
      <c r="X4" s="3220" t="s">
        <v>2818</v>
      </c>
      <c r="Y4" s="3220" t="s">
        <v>2818</v>
      </c>
    </row>
    <row r="5" spans="1:25" s="2961" customFormat="1" ht="13.5">
      <c r="A5" s="3221" t="s">
        <v>3136</v>
      </c>
      <c r="B5" s="3221" t="s">
        <v>1944</v>
      </c>
      <c r="C5" s="3221" t="s">
        <v>3137</v>
      </c>
      <c r="D5" s="3221" t="s">
        <v>3121</v>
      </c>
      <c r="E5" s="3221" t="s">
        <v>3122</v>
      </c>
      <c r="F5" s="3221">
        <v>89116.67</v>
      </c>
      <c r="G5" s="3221">
        <v>133675</v>
      </c>
      <c r="H5" s="3221">
        <v>1.5</v>
      </c>
      <c r="I5" s="3221" t="s">
        <v>2818</v>
      </c>
      <c r="J5" s="3221" t="s">
        <v>3138</v>
      </c>
      <c r="K5" s="3221">
        <v>18</v>
      </c>
      <c r="L5" s="3221" t="s">
        <v>2818</v>
      </c>
      <c r="M5" s="3221" t="s">
        <v>2818</v>
      </c>
      <c r="N5" s="3221" t="s">
        <v>3139</v>
      </c>
      <c r="O5" s="3221" t="s">
        <v>2818</v>
      </c>
      <c r="P5" s="3221" t="s">
        <v>3140</v>
      </c>
      <c r="Q5" s="3221" t="s">
        <v>3141</v>
      </c>
      <c r="R5" s="3221">
        <v>115000</v>
      </c>
      <c r="S5" s="3221">
        <v>172000</v>
      </c>
      <c r="T5" s="3221">
        <v>1286.7</v>
      </c>
      <c r="U5" s="3221">
        <v>12867.03</v>
      </c>
      <c r="V5" s="3221">
        <v>49.57</v>
      </c>
      <c r="W5" s="3221" t="s">
        <v>2818</v>
      </c>
      <c r="X5" s="3221">
        <v>40</v>
      </c>
      <c r="Y5" s="3221" t="s">
        <v>2818</v>
      </c>
    </row>
    <row r="7" spans="1:25" ht="15" thickBot="1">
      <c r="E7" s="3324" t="s">
        <v>3005</v>
      </c>
      <c r="F7" s="3324"/>
      <c r="G7" s="3324"/>
      <c r="H7" s="3324"/>
      <c r="I7" s="3324"/>
      <c r="J7" s="3324"/>
      <c r="K7" s="3324"/>
      <c r="L7" s="3324" t="s">
        <v>3006</v>
      </c>
      <c r="M7" s="3324"/>
      <c r="N7" s="3324"/>
      <c r="O7" s="3324"/>
      <c r="P7" s="3324"/>
      <c r="Q7" s="3185"/>
    </row>
    <row r="8" spans="1:25" ht="15" thickBot="1">
      <c r="B8" s="3202" t="s">
        <v>3007</v>
      </c>
      <c r="C8" s="3203" t="s">
        <v>3008</v>
      </c>
      <c r="D8" s="3203" t="s">
        <v>3009</v>
      </c>
      <c r="E8" s="3204" t="s">
        <v>3010</v>
      </c>
      <c r="F8" s="3204" t="s">
        <v>3011</v>
      </c>
      <c r="G8" s="3205" t="s">
        <v>3058</v>
      </c>
      <c r="H8" s="3205" t="s">
        <v>3056</v>
      </c>
      <c r="I8" s="3205" t="s">
        <v>3066</v>
      </c>
      <c r="J8" s="3205" t="s">
        <v>3028</v>
      </c>
      <c r="K8" s="3204" t="s">
        <v>3012</v>
      </c>
      <c r="L8" s="3206" t="s">
        <v>3013</v>
      </c>
      <c r="M8" s="3206" t="s">
        <v>3014</v>
      </c>
      <c r="N8" s="3207" t="s">
        <v>3063</v>
      </c>
      <c r="O8" s="3206" t="s">
        <v>3012</v>
      </c>
      <c r="P8" s="3207" t="s">
        <v>3028</v>
      </c>
      <c r="Q8" s="3208" t="s">
        <v>3029</v>
      </c>
      <c r="R8" s="3181" t="s">
        <v>3015</v>
      </c>
    </row>
    <row r="9" spans="1:25">
      <c r="B9" s="3200">
        <v>1</v>
      </c>
      <c r="C9" s="3188" t="s">
        <v>3016</v>
      </c>
      <c r="D9" s="3188">
        <f>SUM(E9,L9)</f>
        <v>7954.44</v>
      </c>
      <c r="E9" s="3189">
        <f>SUM(F9:K9)</f>
        <v>5304.99</v>
      </c>
      <c r="F9" s="3189">
        <v>5304.99</v>
      </c>
      <c r="G9" s="3189"/>
      <c r="H9" s="3189"/>
      <c r="I9" s="3189"/>
      <c r="J9" s="3189"/>
      <c r="K9" s="3189"/>
      <c r="L9" s="3190">
        <f>SUM(M9:P9)</f>
        <v>2649.45</v>
      </c>
      <c r="M9" s="3190">
        <v>1209.7</v>
      </c>
      <c r="N9" s="3190"/>
      <c r="O9" s="3190">
        <v>1439.75</v>
      </c>
      <c r="P9" s="3190"/>
      <c r="Q9" s="3201">
        <v>4418.1899999999996</v>
      </c>
      <c r="R9" s="3181">
        <v>6</v>
      </c>
    </row>
    <row r="10" spans="1:25">
      <c r="B10" s="3194">
        <v>2</v>
      </c>
      <c r="C10" s="3182" t="s">
        <v>3017</v>
      </c>
      <c r="D10" s="3182">
        <f t="shared" ref="D10:D25" si="0">SUM(E10,L10)</f>
        <v>7952.61</v>
      </c>
      <c r="E10" s="3183">
        <f t="shared" ref="E10:E25" si="1">SUM(F10:K10)</f>
        <v>5304.99</v>
      </c>
      <c r="F10" s="3183">
        <v>5304.99</v>
      </c>
      <c r="G10" s="3183"/>
      <c r="H10" s="3183"/>
      <c r="I10" s="3183"/>
      <c r="J10" s="3183"/>
      <c r="K10" s="3183"/>
      <c r="L10" s="3184">
        <f t="shared" ref="L10:L47" si="2">SUM(M10:P10)</f>
        <v>2647.62</v>
      </c>
      <c r="M10" s="3184">
        <v>1209.7</v>
      </c>
      <c r="N10" s="3184"/>
      <c r="O10" s="3184">
        <v>1437.92</v>
      </c>
      <c r="P10" s="3184"/>
      <c r="Q10" s="3195"/>
      <c r="R10" s="3181">
        <v>6</v>
      </c>
    </row>
    <row r="11" spans="1:25">
      <c r="B11" s="3194">
        <v>3</v>
      </c>
      <c r="C11" s="3182" t="s">
        <v>3018</v>
      </c>
      <c r="D11" s="3182">
        <f t="shared" si="0"/>
        <v>11166.619999999999</v>
      </c>
      <c r="E11" s="3183">
        <f t="shared" si="1"/>
        <v>7477.88</v>
      </c>
      <c r="F11" s="3183">
        <v>7417.88</v>
      </c>
      <c r="G11" s="3183"/>
      <c r="H11" s="3183"/>
      <c r="I11" s="3183"/>
      <c r="J11" s="3183"/>
      <c r="K11" s="3183">
        <v>60</v>
      </c>
      <c r="L11" s="3184">
        <f t="shared" si="2"/>
        <v>3688.74</v>
      </c>
      <c r="M11" s="3184">
        <v>1689.32</v>
      </c>
      <c r="N11" s="3184"/>
      <c r="O11" s="3184">
        <f>1999.42</f>
        <v>1999.42</v>
      </c>
      <c r="P11" s="3184"/>
      <c r="Q11" s="3195"/>
      <c r="R11" s="3181">
        <v>6</v>
      </c>
    </row>
    <row r="12" spans="1:25">
      <c r="B12" s="3194">
        <v>4</v>
      </c>
      <c r="C12" s="3182" t="s">
        <v>3019</v>
      </c>
      <c r="D12" s="3182">
        <f t="shared" si="0"/>
        <v>4812.1500000000005</v>
      </c>
      <c r="E12" s="3183">
        <f t="shared" si="1"/>
        <v>3194.26</v>
      </c>
      <c r="F12" s="3183">
        <v>3194.26</v>
      </c>
      <c r="G12" s="3183"/>
      <c r="H12" s="3183"/>
      <c r="I12" s="3183"/>
      <c r="J12" s="3183"/>
      <c r="K12" s="3183"/>
      <c r="L12" s="3184">
        <f t="shared" si="2"/>
        <v>1617.89</v>
      </c>
      <c r="M12" s="3184">
        <v>826.19</v>
      </c>
      <c r="N12" s="3184"/>
      <c r="O12" s="3184">
        <v>791.7</v>
      </c>
      <c r="P12" s="3184"/>
      <c r="Q12" s="3195"/>
      <c r="R12" s="3181">
        <v>6</v>
      </c>
    </row>
    <row r="13" spans="1:25">
      <c r="B13" s="3194">
        <v>5</v>
      </c>
      <c r="C13" s="3182" t="s">
        <v>3020</v>
      </c>
      <c r="D13" s="3182">
        <f t="shared" si="0"/>
        <v>6394.5</v>
      </c>
      <c r="E13" s="3183">
        <f t="shared" si="1"/>
        <v>4262.7299999999996</v>
      </c>
      <c r="F13" s="3183">
        <v>4262.7299999999996</v>
      </c>
      <c r="G13" s="3183"/>
      <c r="H13" s="3183"/>
      <c r="I13" s="3183"/>
      <c r="J13" s="3183"/>
      <c r="K13" s="3183"/>
      <c r="L13" s="3184">
        <f t="shared" si="2"/>
        <v>2131.77</v>
      </c>
      <c r="M13" s="3184">
        <v>1063.9100000000001</v>
      </c>
      <c r="N13" s="3184"/>
      <c r="O13" s="3184">
        <v>1067.8599999999999</v>
      </c>
      <c r="P13" s="3184"/>
      <c r="Q13" s="3195"/>
      <c r="R13" s="3181">
        <v>6</v>
      </c>
    </row>
    <row r="14" spans="1:25">
      <c r="B14" s="3194">
        <v>6</v>
      </c>
      <c r="C14" s="3182" t="s">
        <v>3021</v>
      </c>
      <c r="D14" s="3182">
        <f t="shared" si="0"/>
        <v>8152.09</v>
      </c>
      <c r="E14" s="3183">
        <f t="shared" si="1"/>
        <v>5596.41</v>
      </c>
      <c r="F14" s="3183">
        <v>5570.41</v>
      </c>
      <c r="G14" s="3183"/>
      <c r="H14" s="3183"/>
      <c r="I14" s="3183"/>
      <c r="J14" s="3183">
        <v>26</v>
      </c>
      <c r="K14" s="3183"/>
      <c r="L14" s="3184">
        <f t="shared" si="2"/>
        <v>2555.6800000000003</v>
      </c>
      <c r="M14" s="3184">
        <v>1155.48</v>
      </c>
      <c r="N14" s="3184"/>
      <c r="O14" s="3184">
        <v>1400.2</v>
      </c>
      <c r="P14" s="3184"/>
      <c r="Q14" s="3195"/>
      <c r="R14" s="3181">
        <v>6</v>
      </c>
    </row>
    <row r="15" spans="1:25">
      <c r="B15" s="3194">
        <v>7</v>
      </c>
      <c r="C15" s="3182" t="s">
        <v>3022</v>
      </c>
      <c r="D15" s="3182">
        <f t="shared" si="0"/>
        <v>11406.08</v>
      </c>
      <c r="E15" s="3183">
        <f t="shared" si="1"/>
        <v>7690.47</v>
      </c>
      <c r="F15" s="3183">
        <v>7690.47</v>
      </c>
      <c r="G15" s="3183"/>
      <c r="H15" s="3183"/>
      <c r="I15" s="3183"/>
      <c r="J15" s="3183"/>
      <c r="K15" s="3183"/>
      <c r="L15" s="3184">
        <f t="shared" si="2"/>
        <v>3715.6099999999997</v>
      </c>
      <c r="M15" s="3184">
        <v>1789.87</v>
      </c>
      <c r="N15" s="3184"/>
      <c r="O15" s="3184">
        <v>1925.74</v>
      </c>
      <c r="P15" s="3184"/>
      <c r="Q15" s="3195">
        <v>6397.59</v>
      </c>
      <c r="R15" s="3181">
        <v>6</v>
      </c>
      <c r="S15" s="3186"/>
    </row>
    <row r="16" spans="1:25">
      <c r="B16" s="3194">
        <v>8</v>
      </c>
      <c r="C16" s="3182" t="s">
        <v>3023</v>
      </c>
      <c r="D16" s="3182">
        <f t="shared" si="0"/>
        <v>9657.2900000000009</v>
      </c>
      <c r="E16" s="3183">
        <f t="shared" si="1"/>
        <v>6561.51</v>
      </c>
      <c r="F16" s="3183">
        <v>6561.51</v>
      </c>
      <c r="G16" s="3183"/>
      <c r="H16" s="3183"/>
      <c r="I16" s="3183"/>
      <c r="J16" s="3183"/>
      <c r="K16" s="3183"/>
      <c r="L16" s="3184">
        <f t="shared" si="2"/>
        <v>3095.7799999999997</v>
      </c>
      <c r="M16" s="3184">
        <v>1401.08</v>
      </c>
      <c r="N16" s="3184"/>
      <c r="O16" s="3184">
        <v>1694.7</v>
      </c>
      <c r="P16" s="3184"/>
      <c r="Q16" s="3195">
        <v>5446.12</v>
      </c>
      <c r="R16" s="3181">
        <v>6</v>
      </c>
    </row>
    <row r="17" spans="2:18">
      <c r="B17" s="3194">
        <v>9</v>
      </c>
      <c r="C17" s="3182" t="s">
        <v>3024</v>
      </c>
      <c r="D17" s="3182">
        <f t="shared" si="0"/>
        <v>8170.09</v>
      </c>
      <c r="E17" s="3183">
        <f t="shared" si="1"/>
        <v>5591.71</v>
      </c>
      <c r="F17" s="3183">
        <v>5591.71</v>
      </c>
      <c r="G17" s="3183"/>
      <c r="H17" s="3183"/>
      <c r="I17" s="3183"/>
      <c r="J17" s="3183"/>
      <c r="K17" s="3183"/>
      <c r="L17" s="3184">
        <f t="shared" si="2"/>
        <v>2578.38</v>
      </c>
      <c r="M17" s="3184">
        <v>1155.48</v>
      </c>
      <c r="N17" s="3184"/>
      <c r="O17" s="3184">
        <v>1422.9</v>
      </c>
      <c r="P17" s="3184"/>
      <c r="Q17" s="3195"/>
      <c r="R17" s="3181">
        <v>6</v>
      </c>
    </row>
    <row r="18" spans="2:18">
      <c r="B18" s="3194">
        <v>10</v>
      </c>
      <c r="C18" s="3182" t="s">
        <v>3025</v>
      </c>
      <c r="D18" s="3182">
        <f t="shared" si="0"/>
        <v>4335.25</v>
      </c>
      <c r="E18" s="3183">
        <f t="shared" si="1"/>
        <v>1877.66</v>
      </c>
      <c r="F18" s="3183">
        <v>1877.66</v>
      </c>
      <c r="G18" s="3183"/>
      <c r="H18" s="3183"/>
      <c r="I18" s="3183"/>
      <c r="J18" s="3183"/>
      <c r="K18" s="3183"/>
      <c r="L18" s="3184">
        <f t="shared" si="2"/>
        <v>2457.59</v>
      </c>
      <c r="M18" s="3184">
        <v>1464.72</v>
      </c>
      <c r="N18" s="3184"/>
      <c r="O18" s="3184">
        <v>992.87</v>
      </c>
      <c r="P18" s="3184"/>
      <c r="Q18" s="3195"/>
      <c r="R18" s="3181">
        <v>4</v>
      </c>
    </row>
    <row r="19" spans="2:18">
      <c r="B19" s="3194">
        <v>11</v>
      </c>
      <c r="C19" s="3182" t="s">
        <v>3026</v>
      </c>
      <c r="D19" s="3182">
        <f t="shared" si="0"/>
        <v>3255.17</v>
      </c>
      <c r="E19" s="3183">
        <f t="shared" si="1"/>
        <v>1410.79</v>
      </c>
      <c r="F19" s="3183">
        <v>1410.79</v>
      </c>
      <c r="G19" s="3183"/>
      <c r="H19" s="3183"/>
      <c r="I19" s="3183"/>
      <c r="J19" s="3183"/>
      <c r="K19" s="3183"/>
      <c r="L19" s="3184">
        <f t="shared" si="2"/>
        <v>1844.3799999999999</v>
      </c>
      <c r="M19" s="3184">
        <v>1098.0899999999999</v>
      </c>
      <c r="N19" s="3184"/>
      <c r="O19" s="3184">
        <v>746.29</v>
      </c>
      <c r="P19" s="3184"/>
      <c r="Q19" s="3195"/>
      <c r="R19" s="3181">
        <v>4</v>
      </c>
    </row>
    <row r="20" spans="2:18">
      <c r="B20" s="3194">
        <v>12</v>
      </c>
      <c r="C20" s="3182" t="s">
        <v>3027</v>
      </c>
      <c r="D20" s="3182">
        <f t="shared" si="0"/>
        <v>4335.25</v>
      </c>
      <c r="E20" s="3183">
        <f t="shared" si="1"/>
        <v>1877.66</v>
      </c>
      <c r="F20" s="3183">
        <v>1877.66</v>
      </c>
      <c r="G20" s="3183"/>
      <c r="H20" s="3183"/>
      <c r="I20" s="3183"/>
      <c r="J20" s="3183"/>
      <c r="K20" s="3183"/>
      <c r="L20" s="3184">
        <f t="shared" si="2"/>
        <v>2457.59</v>
      </c>
      <c r="M20" s="3184">
        <v>1464.72</v>
      </c>
      <c r="N20" s="3184"/>
      <c r="O20" s="3184">
        <v>992.87</v>
      </c>
      <c r="P20" s="3184"/>
      <c r="Q20" s="3195"/>
      <c r="R20" s="3181">
        <v>4</v>
      </c>
    </row>
    <row r="21" spans="2:18">
      <c r="B21" s="3194">
        <v>13</v>
      </c>
      <c r="C21" s="3182" t="s">
        <v>3030</v>
      </c>
      <c r="D21" s="3182">
        <f t="shared" si="0"/>
        <v>8244.5299999999988</v>
      </c>
      <c r="E21" s="3183">
        <f t="shared" si="1"/>
        <v>5591.71</v>
      </c>
      <c r="F21" s="3183">
        <v>5591.71</v>
      </c>
      <c r="G21" s="3183"/>
      <c r="H21" s="3183"/>
      <c r="I21" s="3183"/>
      <c r="J21" s="3183"/>
      <c r="K21" s="3183"/>
      <c r="L21" s="3184">
        <f t="shared" si="2"/>
        <v>2652.8199999999997</v>
      </c>
      <c r="M21" s="3184">
        <v>1310.1099999999999</v>
      </c>
      <c r="N21" s="3184"/>
      <c r="O21" s="3184">
        <v>1342.71</v>
      </c>
      <c r="P21" s="3184"/>
      <c r="Q21" s="3195"/>
      <c r="R21" s="3181">
        <v>6</v>
      </c>
    </row>
    <row r="22" spans="2:18">
      <c r="B22" s="3194">
        <v>14</v>
      </c>
      <c r="C22" s="3182" t="s">
        <v>3031</v>
      </c>
      <c r="D22" s="3182">
        <f t="shared" si="0"/>
        <v>8128.57</v>
      </c>
      <c r="E22" s="3183">
        <f t="shared" si="1"/>
        <v>5461.5</v>
      </c>
      <c r="F22" s="3183">
        <v>5461.5</v>
      </c>
      <c r="G22" s="3183"/>
      <c r="H22" s="3183"/>
      <c r="I22" s="3183"/>
      <c r="J22" s="3183"/>
      <c r="K22" s="3183"/>
      <c r="L22" s="3184">
        <f t="shared" si="2"/>
        <v>2667.0699999999997</v>
      </c>
      <c r="M22" s="3184">
        <v>1288.52</v>
      </c>
      <c r="N22" s="3184"/>
      <c r="O22" s="3184">
        <v>1378.55</v>
      </c>
      <c r="P22" s="3184"/>
      <c r="Q22" s="3195">
        <v>4507.37</v>
      </c>
      <c r="R22" s="3181">
        <v>6</v>
      </c>
    </row>
    <row r="23" spans="2:18">
      <c r="B23" s="3194">
        <v>15</v>
      </c>
      <c r="C23" s="3182" t="s">
        <v>3032</v>
      </c>
      <c r="D23" s="3182">
        <f t="shared" si="0"/>
        <v>6540.0499999999993</v>
      </c>
      <c r="E23" s="3183">
        <f t="shared" si="1"/>
        <v>4401.03</v>
      </c>
      <c r="F23" s="3183">
        <v>4401.03</v>
      </c>
      <c r="G23" s="3183"/>
      <c r="H23" s="3183"/>
      <c r="I23" s="3183"/>
      <c r="J23" s="3183"/>
      <c r="K23" s="3183"/>
      <c r="L23" s="3184">
        <f t="shared" si="2"/>
        <v>2139.02</v>
      </c>
      <c r="M23" s="3184">
        <v>1064.05</v>
      </c>
      <c r="N23" s="3184"/>
      <c r="O23" s="3184">
        <v>1074.97</v>
      </c>
      <c r="P23" s="3184"/>
      <c r="Q23" s="3195">
        <v>3645.77</v>
      </c>
      <c r="R23" s="3181">
        <v>6</v>
      </c>
    </row>
    <row r="24" spans="2:18">
      <c r="B24" s="3194">
        <v>16</v>
      </c>
      <c r="C24" s="3182" t="s">
        <v>3033</v>
      </c>
      <c r="D24" s="3182">
        <f t="shared" si="0"/>
        <v>8522.1899999999987</v>
      </c>
      <c r="E24" s="3183">
        <f t="shared" si="1"/>
        <v>5816.41</v>
      </c>
      <c r="F24" s="3183">
        <v>5816.41</v>
      </c>
      <c r="G24" s="3183"/>
      <c r="H24" s="3183"/>
      <c r="I24" s="3183"/>
      <c r="J24" s="3183"/>
      <c r="K24" s="3183"/>
      <c r="L24" s="3184">
        <f t="shared" si="2"/>
        <v>2705.7799999999997</v>
      </c>
      <c r="M24" s="3184">
        <v>1410.52</v>
      </c>
      <c r="N24" s="3184"/>
      <c r="O24" s="3184">
        <v>1295.26</v>
      </c>
      <c r="P24" s="3184"/>
      <c r="Q24" s="3195"/>
      <c r="R24" s="3181">
        <v>6</v>
      </c>
    </row>
    <row r="25" spans="2:18">
      <c r="B25" s="3194">
        <v>17</v>
      </c>
      <c r="C25" s="3182" t="s">
        <v>3034</v>
      </c>
      <c r="D25" s="3182">
        <f t="shared" si="0"/>
        <v>4335.25</v>
      </c>
      <c r="E25" s="3183">
        <f t="shared" si="1"/>
        <v>1877.66</v>
      </c>
      <c r="F25" s="3183">
        <v>1877.66</v>
      </c>
      <c r="G25" s="3183"/>
      <c r="H25" s="3183"/>
      <c r="I25" s="3183"/>
      <c r="J25" s="3183"/>
      <c r="K25" s="3183"/>
      <c r="L25" s="3184">
        <f t="shared" si="2"/>
        <v>2457.59</v>
      </c>
      <c r="M25" s="3184">
        <v>1464.72</v>
      </c>
      <c r="N25" s="3184"/>
      <c r="O25" s="3184">
        <v>992.87</v>
      </c>
      <c r="P25" s="3184"/>
      <c r="Q25" s="3195"/>
      <c r="R25" s="3181">
        <v>4</v>
      </c>
    </row>
    <row r="26" spans="2:18">
      <c r="B26" s="3194">
        <v>18</v>
      </c>
      <c r="C26" s="3182" t="s">
        <v>3035</v>
      </c>
      <c r="D26" s="3182">
        <f t="shared" ref="D26:D46" si="3">SUM(E26,L26)</f>
        <v>3255.17</v>
      </c>
      <c r="E26" s="3183">
        <f t="shared" ref="E26:E46" si="4">SUM(F26:K26)</f>
        <v>1410.79</v>
      </c>
      <c r="F26" s="3183">
        <v>1410.79</v>
      </c>
      <c r="G26" s="3183"/>
      <c r="H26" s="3183"/>
      <c r="I26" s="3183"/>
      <c r="J26" s="3183"/>
      <c r="K26" s="3183"/>
      <c r="L26" s="3184">
        <f t="shared" si="2"/>
        <v>1844.3799999999999</v>
      </c>
      <c r="M26" s="3184">
        <v>1098.0899999999999</v>
      </c>
      <c r="N26" s="3184"/>
      <c r="O26" s="3184">
        <v>746.29</v>
      </c>
      <c r="P26" s="3184"/>
      <c r="Q26" s="3195"/>
      <c r="R26" s="3181">
        <v>4</v>
      </c>
    </row>
    <row r="27" spans="2:18">
      <c r="B27" s="3194">
        <v>19</v>
      </c>
      <c r="C27" s="3182" t="s">
        <v>3036</v>
      </c>
      <c r="D27" s="3182">
        <f t="shared" si="3"/>
        <v>3255.17</v>
      </c>
      <c r="E27" s="3183">
        <f t="shared" si="4"/>
        <v>1410.79</v>
      </c>
      <c r="F27" s="3183">
        <v>1410.79</v>
      </c>
      <c r="G27" s="3183"/>
      <c r="H27" s="3183"/>
      <c r="I27" s="3183"/>
      <c r="J27" s="3183"/>
      <c r="K27" s="3183"/>
      <c r="L27" s="3184">
        <f t="shared" si="2"/>
        <v>1844.3799999999999</v>
      </c>
      <c r="M27" s="3184">
        <v>1098.0899999999999</v>
      </c>
      <c r="N27" s="3184"/>
      <c r="O27" s="3184">
        <v>746.29</v>
      </c>
      <c r="P27" s="3184"/>
      <c r="Q27" s="3195"/>
      <c r="R27" s="3181">
        <v>4</v>
      </c>
    </row>
    <row r="28" spans="2:18">
      <c r="B28" s="3194">
        <v>20</v>
      </c>
      <c r="C28" s="3182" t="s">
        <v>3037</v>
      </c>
      <c r="D28" s="3182">
        <f t="shared" si="3"/>
        <v>4335.25</v>
      </c>
      <c r="E28" s="3183">
        <f t="shared" si="4"/>
        <v>1877.66</v>
      </c>
      <c r="F28" s="3183">
        <v>1877.66</v>
      </c>
      <c r="G28" s="3183"/>
      <c r="H28" s="3183"/>
      <c r="I28" s="3183"/>
      <c r="J28" s="3183"/>
      <c r="K28" s="3183"/>
      <c r="L28" s="3184">
        <f t="shared" si="2"/>
        <v>2457.59</v>
      </c>
      <c r="M28" s="3184">
        <v>1464.72</v>
      </c>
      <c r="N28" s="3184"/>
      <c r="O28" s="3184">
        <v>992.87</v>
      </c>
      <c r="P28" s="3184"/>
      <c r="Q28" s="3195"/>
      <c r="R28" s="3181">
        <v>4</v>
      </c>
    </row>
    <row r="29" spans="2:18">
      <c r="B29" s="3194">
        <v>21</v>
      </c>
      <c r="C29" s="3182" t="s">
        <v>3038</v>
      </c>
      <c r="D29" s="3182">
        <f t="shared" si="3"/>
        <v>4987.71</v>
      </c>
      <c r="E29" s="3183">
        <f t="shared" si="4"/>
        <v>3352.58</v>
      </c>
      <c r="F29" s="3183">
        <v>3352.58</v>
      </c>
      <c r="G29" s="3183"/>
      <c r="H29" s="3183"/>
      <c r="I29" s="3183"/>
      <c r="J29" s="3183"/>
      <c r="K29" s="3183"/>
      <c r="L29" s="3184">
        <f t="shared" si="2"/>
        <v>1635.13</v>
      </c>
      <c r="M29" s="3184">
        <v>826.19</v>
      </c>
      <c r="N29" s="3184"/>
      <c r="O29" s="3184">
        <v>808.94</v>
      </c>
      <c r="P29" s="3184"/>
      <c r="Q29" s="3195">
        <v>2776.12</v>
      </c>
      <c r="R29" s="3181">
        <v>6</v>
      </c>
    </row>
    <row r="30" spans="2:18">
      <c r="B30" s="3194">
        <v>22</v>
      </c>
      <c r="C30" s="3182" t="s">
        <v>3039</v>
      </c>
      <c r="D30" s="3182">
        <f t="shared" si="3"/>
        <v>8573</v>
      </c>
      <c r="E30" s="3183">
        <f t="shared" si="4"/>
        <v>5857.15</v>
      </c>
      <c r="F30" s="3183">
        <v>5857.15</v>
      </c>
      <c r="G30" s="3183"/>
      <c r="H30" s="3183"/>
      <c r="I30" s="3183"/>
      <c r="J30" s="3183"/>
      <c r="K30" s="3183"/>
      <c r="L30" s="3184">
        <f t="shared" si="2"/>
        <v>2715.85</v>
      </c>
      <c r="M30" s="3184">
        <v>1410.52</v>
      </c>
      <c r="N30" s="3184"/>
      <c r="O30" s="3184">
        <v>1305.33</v>
      </c>
      <c r="P30" s="3184"/>
      <c r="Q30" s="3195">
        <v>3233.43</v>
      </c>
      <c r="R30" s="3181">
        <v>6</v>
      </c>
    </row>
    <row r="31" spans="2:18">
      <c r="B31" s="3194">
        <v>23</v>
      </c>
      <c r="C31" s="3182" t="s">
        <v>3040</v>
      </c>
      <c r="D31" s="3182">
        <f t="shared" si="3"/>
        <v>5476.2000000000007</v>
      </c>
      <c r="E31" s="3183">
        <f t="shared" si="4"/>
        <v>2352.98</v>
      </c>
      <c r="F31" s="3183">
        <v>2352.98</v>
      </c>
      <c r="G31" s="3183"/>
      <c r="H31" s="3183"/>
      <c r="I31" s="3183"/>
      <c r="J31" s="3183"/>
      <c r="K31" s="3183"/>
      <c r="L31" s="3184">
        <f t="shared" si="2"/>
        <v>3123.2200000000003</v>
      </c>
      <c r="M31" s="3184">
        <v>1870.48</v>
      </c>
      <c r="N31" s="3184"/>
      <c r="O31" s="3184">
        <v>1252.74</v>
      </c>
      <c r="P31" s="3184"/>
      <c r="Q31" s="3195"/>
      <c r="R31" s="3181">
        <v>4</v>
      </c>
    </row>
    <row r="32" spans="2:18">
      <c r="B32" s="3194">
        <v>24</v>
      </c>
      <c r="C32" s="3182" t="s">
        <v>3055</v>
      </c>
      <c r="D32" s="3182">
        <f t="shared" ref="D32" si="5">SUM(E32,L32)</f>
        <v>69.760000000000005</v>
      </c>
      <c r="E32" s="3183">
        <f t="shared" ref="E32" si="6">SUM(F32:K32)</f>
        <v>69.760000000000005</v>
      </c>
      <c r="F32" s="3183"/>
      <c r="G32" s="3183"/>
      <c r="H32" s="3183">
        <v>69.760000000000005</v>
      </c>
      <c r="I32" s="3183"/>
      <c r="J32" s="3183"/>
      <c r="K32" s="3183"/>
      <c r="L32" s="3184">
        <f t="shared" si="2"/>
        <v>0</v>
      </c>
      <c r="M32" s="3184"/>
      <c r="N32" s="3184"/>
      <c r="O32" s="3184"/>
      <c r="P32" s="3184"/>
      <c r="Q32" s="3195"/>
    </row>
    <row r="33" spans="2:18">
      <c r="B33" s="3194">
        <v>25</v>
      </c>
      <c r="C33" s="3182" t="s">
        <v>3057</v>
      </c>
      <c r="D33" s="3182">
        <f t="shared" ref="D33:D38" si="7">SUM(E33,L33)</f>
        <v>1134.56</v>
      </c>
      <c r="E33" s="3183">
        <f t="shared" ref="E33:E38" si="8">SUM(F33:K33)</f>
        <v>1134.56</v>
      </c>
      <c r="F33" s="3183"/>
      <c r="G33" s="3183">
        <v>1066.56</v>
      </c>
      <c r="H33" s="3183">
        <v>8</v>
      </c>
      <c r="I33" s="3183"/>
      <c r="J33" s="3183"/>
      <c r="K33" s="3183">
        <v>60</v>
      </c>
      <c r="L33" s="3184">
        <f t="shared" si="2"/>
        <v>0</v>
      </c>
      <c r="M33" s="3184"/>
      <c r="N33" s="3184"/>
      <c r="O33" s="3184"/>
      <c r="P33" s="3184"/>
      <c r="Q33" s="3195"/>
    </row>
    <row r="34" spans="2:18">
      <c r="B34" s="3194">
        <v>26</v>
      </c>
      <c r="C34" s="3182" t="s">
        <v>3059</v>
      </c>
      <c r="D34" s="3182">
        <f t="shared" si="7"/>
        <v>153</v>
      </c>
      <c r="E34" s="3183">
        <f t="shared" si="8"/>
        <v>153</v>
      </c>
      <c r="F34" s="3183"/>
      <c r="G34" s="3183"/>
      <c r="H34" s="3183"/>
      <c r="I34" s="3183"/>
      <c r="J34" s="3183"/>
      <c r="K34" s="3183">
        <v>153</v>
      </c>
      <c r="L34" s="3184">
        <f t="shared" si="2"/>
        <v>0</v>
      </c>
      <c r="M34" s="3184"/>
      <c r="N34" s="3184"/>
      <c r="O34" s="3184"/>
      <c r="P34" s="3184"/>
      <c r="Q34" s="3195"/>
    </row>
    <row r="35" spans="2:18">
      <c r="B35" s="3194">
        <v>27</v>
      </c>
      <c r="C35" s="3182" t="s">
        <v>3060</v>
      </c>
      <c r="D35" s="3182">
        <f t="shared" si="7"/>
        <v>153</v>
      </c>
      <c r="E35" s="3183">
        <f t="shared" si="8"/>
        <v>153</v>
      </c>
      <c r="F35" s="3183"/>
      <c r="G35" s="3183"/>
      <c r="H35" s="3183"/>
      <c r="I35" s="3183"/>
      <c r="J35" s="3183"/>
      <c r="K35" s="3183">
        <v>153</v>
      </c>
      <c r="L35" s="3184">
        <f t="shared" si="2"/>
        <v>0</v>
      </c>
      <c r="M35" s="3184"/>
      <c r="N35" s="3184"/>
      <c r="O35" s="3184"/>
      <c r="P35" s="3184"/>
      <c r="Q35" s="3195"/>
    </row>
    <row r="36" spans="2:18">
      <c r="B36" s="3194">
        <v>28</v>
      </c>
      <c r="C36" s="3182" t="s">
        <v>3061</v>
      </c>
      <c r="D36" s="3182">
        <f t="shared" si="7"/>
        <v>189</v>
      </c>
      <c r="E36" s="3183">
        <f t="shared" si="8"/>
        <v>189</v>
      </c>
      <c r="F36" s="3183"/>
      <c r="G36" s="3183"/>
      <c r="H36" s="3183"/>
      <c r="I36" s="3183"/>
      <c r="J36" s="3183"/>
      <c r="K36" s="3183">
        <v>189</v>
      </c>
      <c r="L36" s="3184">
        <f t="shared" si="2"/>
        <v>0</v>
      </c>
      <c r="M36" s="3184"/>
      <c r="N36" s="3184"/>
      <c r="O36" s="3184"/>
      <c r="P36" s="3184"/>
      <c r="Q36" s="3195"/>
    </row>
    <row r="37" spans="2:18">
      <c r="B37" s="3194">
        <v>29</v>
      </c>
      <c r="C37" s="3182" t="s">
        <v>3062</v>
      </c>
      <c r="D37" s="3182">
        <f t="shared" si="7"/>
        <v>35070.69</v>
      </c>
      <c r="E37" s="3183">
        <f t="shared" si="8"/>
        <v>20</v>
      </c>
      <c r="F37" s="3183"/>
      <c r="G37" s="3183"/>
      <c r="H37" s="3183"/>
      <c r="I37" s="3183"/>
      <c r="J37" s="3183"/>
      <c r="K37" s="3183">
        <v>20</v>
      </c>
      <c r="L37" s="3184">
        <f t="shared" si="2"/>
        <v>35050.69</v>
      </c>
      <c r="M37" s="3184"/>
      <c r="N37" s="3184">
        <f>35050.69-P37</f>
        <v>27013.690000000002</v>
      </c>
      <c r="O37" s="3184"/>
      <c r="P37" s="3184">
        <f>8037</f>
        <v>8037</v>
      </c>
      <c r="Q37" s="3195"/>
    </row>
    <row r="38" spans="2:18">
      <c r="B38" s="3194">
        <v>30</v>
      </c>
      <c r="C38" s="3187" t="s">
        <v>3064</v>
      </c>
      <c r="D38" s="3182">
        <f t="shared" si="7"/>
        <v>115</v>
      </c>
      <c r="E38" s="3183">
        <f t="shared" si="8"/>
        <v>115</v>
      </c>
      <c r="F38" s="3183"/>
      <c r="G38" s="3183"/>
      <c r="H38" s="3183"/>
      <c r="I38" s="3183"/>
      <c r="J38" s="3183">
        <v>115</v>
      </c>
      <c r="K38" s="3183"/>
      <c r="L38" s="3184"/>
      <c r="M38" s="3184"/>
      <c r="N38" s="3184"/>
      <c r="O38" s="3184"/>
      <c r="P38" s="3184"/>
      <c r="Q38" s="3195"/>
    </row>
    <row r="39" spans="2:18" ht="14.25" customHeight="1" thickBot="1">
      <c r="B39" s="3211"/>
      <c r="C39" s="3212" t="s">
        <v>3072</v>
      </c>
      <c r="D39" s="3196">
        <f>SUM(D9:D38)</f>
        <v>190129.63999999998</v>
      </c>
      <c r="E39" s="3197">
        <f t="shared" ref="E39:Q39" si="9">SUM(E9:E38)</f>
        <v>97395.64</v>
      </c>
      <c r="F39" s="3197">
        <f t="shared" si="9"/>
        <v>95475.32</v>
      </c>
      <c r="G39" s="3197">
        <f t="shared" si="9"/>
        <v>1066.56</v>
      </c>
      <c r="H39" s="3197">
        <f t="shared" si="9"/>
        <v>77.760000000000005</v>
      </c>
      <c r="I39" s="3197">
        <f t="shared" si="9"/>
        <v>0</v>
      </c>
      <c r="J39" s="3197">
        <f t="shared" si="9"/>
        <v>141</v>
      </c>
      <c r="K39" s="3197">
        <f t="shared" si="9"/>
        <v>635</v>
      </c>
      <c r="L39" s="3198">
        <f t="shared" si="9"/>
        <v>92733.999999999985</v>
      </c>
      <c r="M39" s="3198">
        <f t="shared" si="9"/>
        <v>29834.269999999997</v>
      </c>
      <c r="N39" s="3198">
        <f t="shared" si="9"/>
        <v>27013.690000000002</v>
      </c>
      <c r="O39" s="3198">
        <f t="shared" si="9"/>
        <v>27849.040000000005</v>
      </c>
      <c r="P39" s="3198">
        <f t="shared" si="9"/>
        <v>8037</v>
      </c>
      <c r="Q39" s="3199">
        <f t="shared" si="9"/>
        <v>30424.589999999997</v>
      </c>
    </row>
    <row r="40" spans="2:18">
      <c r="B40" s="3209">
        <v>1</v>
      </c>
      <c r="C40" s="3191" t="s">
        <v>3041</v>
      </c>
      <c r="D40" s="3191">
        <f>SUM(E40,L40)</f>
        <v>7899.44</v>
      </c>
      <c r="E40" s="3192">
        <f>SUM(F40:K40)</f>
        <v>5282.69</v>
      </c>
      <c r="F40" s="3192">
        <v>5282.69</v>
      </c>
      <c r="G40" s="3192"/>
      <c r="H40" s="3192"/>
      <c r="I40" s="3192"/>
      <c r="J40" s="3192"/>
      <c r="K40" s="3192"/>
      <c r="L40" s="3193">
        <f t="shared" si="2"/>
        <v>2616.75</v>
      </c>
      <c r="M40" s="3193">
        <v>1209.7</v>
      </c>
      <c r="N40" s="3193"/>
      <c r="O40" s="3193">
        <v>1407.05</v>
      </c>
      <c r="P40" s="3193"/>
      <c r="Q40" s="3210">
        <v>4398.17</v>
      </c>
      <c r="R40" s="3181">
        <v>6</v>
      </c>
    </row>
    <row r="41" spans="2:18">
      <c r="B41" s="3194">
        <v>2</v>
      </c>
      <c r="C41" s="3182" t="s">
        <v>3042</v>
      </c>
      <c r="D41" s="3182">
        <f t="shared" si="3"/>
        <v>6337.7</v>
      </c>
      <c r="E41" s="3183">
        <f t="shared" si="4"/>
        <v>4219.41</v>
      </c>
      <c r="F41" s="3183">
        <v>4219.41</v>
      </c>
      <c r="G41" s="3183"/>
      <c r="H41" s="3183"/>
      <c r="I41" s="3183"/>
      <c r="J41" s="3183"/>
      <c r="K41" s="3183"/>
      <c r="L41" s="3184">
        <f t="shared" si="2"/>
        <v>2118.29</v>
      </c>
      <c r="M41" s="3184">
        <v>963.68</v>
      </c>
      <c r="N41" s="3184"/>
      <c r="O41" s="3184">
        <v>1154.6099999999999</v>
      </c>
      <c r="P41" s="3184"/>
      <c r="Q41" s="3195">
        <v>3515.91</v>
      </c>
      <c r="R41" s="3181">
        <v>6</v>
      </c>
    </row>
    <row r="42" spans="2:18">
      <c r="B42" s="3194">
        <v>3</v>
      </c>
      <c r="C42" s="3182" t="s">
        <v>3043</v>
      </c>
      <c r="D42" s="3182">
        <f t="shared" si="3"/>
        <v>2822.45</v>
      </c>
      <c r="E42" s="3183">
        <f t="shared" si="4"/>
        <v>1720.42</v>
      </c>
      <c r="F42" s="3183">
        <v>1720.42</v>
      </c>
      <c r="G42" s="3183"/>
      <c r="H42" s="3183"/>
      <c r="I42" s="3183"/>
      <c r="J42" s="3183"/>
      <c r="K42" s="3183"/>
      <c r="L42" s="3184">
        <f t="shared" si="2"/>
        <v>1102.03</v>
      </c>
      <c r="M42" s="3184">
        <v>584.25</v>
      </c>
      <c r="N42" s="3184"/>
      <c r="O42" s="3184">
        <v>517.78</v>
      </c>
      <c r="P42" s="3184"/>
      <c r="Q42" s="3195">
        <v>1544.56</v>
      </c>
      <c r="R42" s="3181">
        <v>5</v>
      </c>
    </row>
    <row r="43" spans="2:18">
      <c r="B43" s="3194">
        <v>4</v>
      </c>
      <c r="C43" s="3182" t="s">
        <v>3044</v>
      </c>
      <c r="D43" s="3182">
        <f t="shared" si="3"/>
        <v>3227.05</v>
      </c>
      <c r="E43" s="3183">
        <f t="shared" si="4"/>
        <v>2125.02</v>
      </c>
      <c r="F43" s="3183">
        <v>2125.02</v>
      </c>
      <c r="G43" s="3183"/>
      <c r="H43" s="3183"/>
      <c r="I43" s="3183"/>
      <c r="J43" s="3183"/>
      <c r="K43" s="3183"/>
      <c r="L43" s="3184">
        <f t="shared" si="2"/>
        <v>1102.03</v>
      </c>
      <c r="M43" s="3184">
        <v>584.25</v>
      </c>
      <c r="N43" s="3184"/>
      <c r="O43" s="3184">
        <v>517.78</v>
      </c>
      <c r="P43" s="3184"/>
      <c r="Q43" s="3195">
        <v>1730.58</v>
      </c>
      <c r="R43" s="3181">
        <v>6</v>
      </c>
    </row>
    <row r="44" spans="2:18">
      <c r="B44" s="3194">
        <v>5</v>
      </c>
      <c r="C44" s="3182" t="s">
        <v>3045</v>
      </c>
      <c r="D44" s="3182">
        <f t="shared" si="3"/>
        <v>2174.2800000000002</v>
      </c>
      <c r="E44" s="3183">
        <f t="shared" si="4"/>
        <v>943.12</v>
      </c>
      <c r="F44" s="3183">
        <v>943.12</v>
      </c>
      <c r="G44" s="3183"/>
      <c r="H44" s="3183"/>
      <c r="I44" s="3183"/>
      <c r="J44" s="3183"/>
      <c r="K44" s="3183"/>
      <c r="L44" s="3184">
        <f t="shared" si="2"/>
        <v>1231.1600000000001</v>
      </c>
      <c r="M44" s="3184">
        <v>731.46</v>
      </c>
      <c r="N44" s="3184"/>
      <c r="O44" s="3184">
        <v>499.7</v>
      </c>
      <c r="P44" s="3184"/>
      <c r="Q44" s="3195"/>
      <c r="R44" s="3181">
        <v>4</v>
      </c>
    </row>
    <row r="45" spans="2:18">
      <c r="B45" s="3194">
        <v>6</v>
      </c>
      <c r="C45" s="3182" t="s">
        <v>3046</v>
      </c>
      <c r="D45" s="3182">
        <f t="shared" si="3"/>
        <v>2174.2800000000002</v>
      </c>
      <c r="E45" s="3183">
        <f t="shared" si="4"/>
        <v>943.12</v>
      </c>
      <c r="F45" s="3183">
        <v>943.12</v>
      </c>
      <c r="G45" s="3183"/>
      <c r="H45" s="3183"/>
      <c r="I45" s="3183"/>
      <c r="J45" s="3183"/>
      <c r="K45" s="3183"/>
      <c r="L45" s="3184">
        <f t="shared" si="2"/>
        <v>1231.1600000000001</v>
      </c>
      <c r="M45" s="3184">
        <v>731.46</v>
      </c>
      <c r="N45" s="3184"/>
      <c r="O45" s="3184">
        <v>499.7</v>
      </c>
      <c r="P45" s="3184"/>
      <c r="Q45" s="3195"/>
      <c r="R45" s="3181">
        <v>4</v>
      </c>
    </row>
    <row r="46" spans="2:18">
      <c r="B46" s="3194">
        <v>7</v>
      </c>
      <c r="C46" s="3182" t="s">
        <v>3047</v>
      </c>
      <c r="D46" s="3182">
        <f t="shared" si="3"/>
        <v>6909.13</v>
      </c>
      <c r="E46" s="3183">
        <f t="shared" si="4"/>
        <v>4756.68</v>
      </c>
      <c r="F46" s="3183">
        <v>4756.68</v>
      </c>
      <c r="G46" s="3183"/>
      <c r="H46" s="3183"/>
      <c r="I46" s="3183"/>
      <c r="J46" s="3183"/>
      <c r="K46" s="3183"/>
      <c r="L46" s="3184">
        <f t="shared" si="2"/>
        <v>2152.4499999999998</v>
      </c>
      <c r="M46" s="3184">
        <v>1035.24</v>
      </c>
      <c r="N46" s="3184"/>
      <c r="O46" s="3184">
        <v>1117.21</v>
      </c>
      <c r="P46" s="3184"/>
      <c r="Q46" s="3195">
        <v>3967.98</v>
      </c>
      <c r="R46" s="3181">
        <v>6</v>
      </c>
    </row>
    <row r="47" spans="2:18">
      <c r="B47" s="3194">
        <v>8</v>
      </c>
      <c r="C47" s="3182" t="s">
        <v>3048</v>
      </c>
      <c r="D47" s="3182">
        <f t="shared" ref="D47:D57" si="10">SUM(E47,L47)</f>
        <v>6890.2000000000007</v>
      </c>
      <c r="E47" s="3183">
        <f t="shared" ref="E47:E57" si="11">SUM(F47:K47)</f>
        <v>4736.3100000000004</v>
      </c>
      <c r="F47" s="3183">
        <v>4736.3100000000004</v>
      </c>
      <c r="G47" s="3183"/>
      <c r="H47" s="3183"/>
      <c r="I47" s="3183"/>
      <c r="J47" s="3183"/>
      <c r="K47" s="3183"/>
      <c r="L47" s="3184">
        <f t="shared" si="2"/>
        <v>2153.8900000000003</v>
      </c>
      <c r="M47" s="3184">
        <v>1035.24</v>
      </c>
      <c r="N47" s="3184"/>
      <c r="O47" s="3184">
        <v>1118.6500000000001</v>
      </c>
      <c r="P47" s="3184"/>
      <c r="Q47" s="3195">
        <v>3947.16</v>
      </c>
    </row>
    <row r="48" spans="2:18">
      <c r="B48" s="3194">
        <v>9</v>
      </c>
      <c r="C48" s="3182" t="s">
        <v>3049</v>
      </c>
      <c r="D48" s="3182">
        <f t="shared" si="10"/>
        <v>2174.2800000000002</v>
      </c>
      <c r="E48" s="3183">
        <f t="shared" si="11"/>
        <v>943.12</v>
      </c>
      <c r="F48" s="3183">
        <v>943.12</v>
      </c>
      <c r="G48" s="3183"/>
      <c r="H48" s="3183"/>
      <c r="I48" s="3183"/>
      <c r="J48" s="3183"/>
      <c r="K48" s="3183"/>
      <c r="L48" s="3184">
        <f t="shared" ref="L48" si="12">SUM(M48:P48)</f>
        <v>1231.1600000000001</v>
      </c>
      <c r="M48" s="3184">
        <v>731.46</v>
      </c>
      <c r="N48" s="3184"/>
      <c r="O48" s="3184">
        <v>499.7</v>
      </c>
      <c r="P48" s="3184"/>
      <c r="Q48" s="3195"/>
    </row>
    <row r="49" spans="2:17">
      <c r="B49" s="3194">
        <v>10</v>
      </c>
      <c r="C49" s="3182" t="s">
        <v>3050</v>
      </c>
      <c r="D49" s="3182">
        <f t="shared" si="10"/>
        <v>2174.2800000000002</v>
      </c>
      <c r="E49" s="3183">
        <f t="shared" si="11"/>
        <v>943.12</v>
      </c>
      <c r="F49" s="3183">
        <v>943.12</v>
      </c>
      <c r="G49" s="3183"/>
      <c r="H49" s="3183"/>
      <c r="I49" s="3183"/>
      <c r="J49" s="3183"/>
      <c r="K49" s="3183"/>
      <c r="L49" s="3184">
        <f t="shared" ref="L49:L57" si="13">SUM(M49:P49)</f>
        <v>1231.1600000000001</v>
      </c>
      <c r="M49" s="3184">
        <v>731.46</v>
      </c>
      <c r="N49" s="3184"/>
      <c r="O49" s="3184">
        <v>499.7</v>
      </c>
      <c r="P49" s="3184"/>
      <c r="Q49" s="3195"/>
    </row>
    <row r="50" spans="2:17">
      <c r="B50" s="3194">
        <v>11</v>
      </c>
      <c r="C50" s="3182" t="s">
        <v>3051</v>
      </c>
      <c r="D50" s="3182">
        <f t="shared" si="10"/>
        <v>2178.12</v>
      </c>
      <c r="E50" s="3183">
        <f t="shared" si="11"/>
        <v>943.12</v>
      </c>
      <c r="F50" s="3183">
        <v>943.12</v>
      </c>
      <c r="G50" s="3183"/>
      <c r="H50" s="3183"/>
      <c r="I50" s="3183"/>
      <c r="J50" s="3183"/>
      <c r="K50" s="3183"/>
      <c r="L50" s="3184">
        <f t="shared" si="13"/>
        <v>1235</v>
      </c>
      <c r="M50" s="3184">
        <v>732.76</v>
      </c>
      <c r="N50" s="3184"/>
      <c r="O50" s="3184">
        <v>502.24</v>
      </c>
      <c r="P50" s="3184"/>
      <c r="Q50" s="3195"/>
    </row>
    <row r="51" spans="2:17">
      <c r="B51" s="3194">
        <v>12</v>
      </c>
      <c r="C51" s="3182" t="s">
        <v>3052</v>
      </c>
      <c r="D51" s="3182">
        <f t="shared" si="10"/>
        <v>2174.2800000000002</v>
      </c>
      <c r="E51" s="3183">
        <f t="shared" si="11"/>
        <v>943.12</v>
      </c>
      <c r="F51" s="3183">
        <v>943.12</v>
      </c>
      <c r="G51" s="3183"/>
      <c r="H51" s="3183"/>
      <c r="I51" s="3183"/>
      <c r="J51" s="3183"/>
      <c r="K51" s="3183"/>
      <c r="L51" s="3184">
        <f t="shared" si="13"/>
        <v>1231.1600000000001</v>
      </c>
      <c r="M51" s="3184">
        <v>731.46</v>
      </c>
      <c r="N51" s="3184"/>
      <c r="O51" s="3184">
        <v>499.7</v>
      </c>
      <c r="P51" s="3184"/>
      <c r="Q51" s="3195"/>
    </row>
    <row r="52" spans="2:17">
      <c r="B52" s="3194">
        <v>13</v>
      </c>
      <c r="C52" s="3182" t="s">
        <v>3053</v>
      </c>
      <c r="D52" s="3182">
        <f t="shared" si="10"/>
        <v>6933.77</v>
      </c>
      <c r="E52" s="3183">
        <f t="shared" si="11"/>
        <v>4736.3100000000004</v>
      </c>
      <c r="F52" s="3183">
        <v>4736.3100000000004</v>
      </c>
      <c r="G52" s="3183"/>
      <c r="H52" s="3183"/>
      <c r="I52" s="3183"/>
      <c r="J52" s="3183"/>
      <c r="K52" s="3183"/>
      <c r="L52" s="3184">
        <f t="shared" si="13"/>
        <v>2197.46</v>
      </c>
      <c r="M52" s="3184">
        <v>1164.5</v>
      </c>
      <c r="N52" s="3184"/>
      <c r="O52" s="3184">
        <v>1032.96</v>
      </c>
      <c r="P52" s="3184"/>
      <c r="Q52" s="3195">
        <v>3947.16</v>
      </c>
    </row>
    <row r="53" spans="2:17">
      <c r="B53" s="3194">
        <v>14</v>
      </c>
      <c r="C53" s="3182" t="s">
        <v>3054</v>
      </c>
      <c r="D53" s="3182">
        <f t="shared" si="10"/>
        <v>2174.2800000000002</v>
      </c>
      <c r="E53" s="3183">
        <f t="shared" si="11"/>
        <v>943.12</v>
      </c>
      <c r="F53" s="3183">
        <v>943.12</v>
      </c>
      <c r="G53" s="3183"/>
      <c r="H53" s="3183"/>
      <c r="I53" s="3183"/>
      <c r="J53" s="3183"/>
      <c r="K53" s="3183"/>
      <c r="L53" s="3184">
        <f t="shared" si="13"/>
        <v>1231.1600000000001</v>
      </c>
      <c r="M53" s="3184">
        <v>731.46</v>
      </c>
      <c r="N53" s="3184"/>
      <c r="O53" s="3184">
        <v>499.7</v>
      </c>
      <c r="P53" s="3184"/>
      <c r="Q53" s="3195"/>
    </row>
    <row r="54" spans="2:17">
      <c r="B54" s="3194">
        <v>15</v>
      </c>
      <c r="C54" s="3182" t="s">
        <v>3065</v>
      </c>
      <c r="D54" s="3182">
        <f t="shared" si="10"/>
        <v>1851.68</v>
      </c>
      <c r="E54" s="3183">
        <f t="shared" si="11"/>
        <v>1851.68</v>
      </c>
      <c r="F54" s="3183"/>
      <c r="G54" s="3183">
        <v>1218.44</v>
      </c>
      <c r="H54" s="3183">
        <f>280.24+120+8</f>
        <v>408.24</v>
      </c>
      <c r="I54" s="3183">
        <v>150</v>
      </c>
      <c r="J54" s="3183"/>
      <c r="K54" s="3183">
        <v>75</v>
      </c>
      <c r="L54" s="3184">
        <f t="shared" si="13"/>
        <v>0</v>
      </c>
      <c r="M54" s="3184"/>
      <c r="N54" s="3184"/>
      <c r="O54" s="3184"/>
      <c r="P54" s="3184"/>
      <c r="Q54" s="3195"/>
    </row>
    <row r="55" spans="2:17">
      <c r="B55" s="3194">
        <v>16</v>
      </c>
      <c r="C55" s="3182" t="s">
        <v>3067</v>
      </c>
      <c r="D55" s="3182">
        <f t="shared" si="10"/>
        <v>199</v>
      </c>
      <c r="E55" s="3183">
        <f t="shared" si="11"/>
        <v>199</v>
      </c>
      <c r="F55" s="3183"/>
      <c r="G55" s="3183"/>
      <c r="H55" s="3183"/>
      <c r="I55" s="3183"/>
      <c r="J55" s="3183"/>
      <c r="K55" s="3183">
        <v>199</v>
      </c>
      <c r="L55" s="3184">
        <f t="shared" si="13"/>
        <v>0</v>
      </c>
      <c r="M55" s="3184"/>
      <c r="N55" s="3184"/>
      <c r="O55" s="3184"/>
      <c r="P55" s="3184"/>
      <c r="Q55" s="3195"/>
    </row>
    <row r="56" spans="2:17">
      <c r="B56" s="3194">
        <v>17</v>
      </c>
      <c r="C56" s="3182" t="s">
        <v>3068</v>
      </c>
      <c r="D56" s="3182">
        <f t="shared" si="10"/>
        <v>13485.14</v>
      </c>
      <c r="E56" s="3183">
        <f t="shared" si="11"/>
        <v>0</v>
      </c>
      <c r="F56" s="3183"/>
      <c r="G56" s="3183"/>
      <c r="H56" s="3183"/>
      <c r="I56" s="3183"/>
      <c r="J56" s="3183"/>
      <c r="K56" s="3183"/>
      <c r="L56" s="3184">
        <f t="shared" si="13"/>
        <v>13485.14</v>
      </c>
      <c r="M56" s="3184"/>
      <c r="N56" s="3184">
        <f>13485.14-P56</f>
        <v>9639.14</v>
      </c>
      <c r="O56" s="3184"/>
      <c r="P56" s="3184">
        <v>3846</v>
      </c>
      <c r="Q56" s="3195"/>
    </row>
    <row r="57" spans="2:17">
      <c r="B57" s="3194">
        <v>18</v>
      </c>
      <c r="C57" s="3187" t="s">
        <v>3069</v>
      </c>
      <c r="D57" s="3182">
        <f t="shared" si="10"/>
        <v>50</v>
      </c>
      <c r="E57" s="3183">
        <f t="shared" si="11"/>
        <v>50</v>
      </c>
      <c r="F57" s="3183"/>
      <c r="G57" s="3183"/>
      <c r="H57" s="3183"/>
      <c r="I57" s="3183"/>
      <c r="J57" s="3183">
        <v>50</v>
      </c>
      <c r="K57" s="3183"/>
      <c r="L57" s="3184">
        <f t="shared" si="13"/>
        <v>0</v>
      </c>
      <c r="M57" s="3184"/>
      <c r="N57" s="3184"/>
      <c r="O57" s="3184"/>
      <c r="P57" s="3184"/>
      <c r="Q57" s="3195"/>
    </row>
    <row r="58" spans="2:17" ht="14.25" customHeight="1" thickBot="1">
      <c r="B58" s="3211"/>
      <c r="C58" s="3212" t="s">
        <v>3071</v>
      </c>
      <c r="D58" s="3196">
        <f>SUM(D40:D57)</f>
        <v>71829.359999999986</v>
      </c>
      <c r="E58" s="3197">
        <f t="shared" ref="E58:Q58" si="14">SUM(E40:E57)</f>
        <v>36279.360000000001</v>
      </c>
      <c r="F58" s="3197">
        <f t="shared" si="14"/>
        <v>34178.68</v>
      </c>
      <c r="G58" s="3197">
        <f t="shared" si="14"/>
        <v>1218.44</v>
      </c>
      <c r="H58" s="3197">
        <f t="shared" si="14"/>
        <v>408.24</v>
      </c>
      <c r="I58" s="3197">
        <f t="shared" si="14"/>
        <v>150</v>
      </c>
      <c r="J58" s="3197">
        <f t="shared" si="14"/>
        <v>50</v>
      </c>
      <c r="K58" s="3197">
        <f t="shared" si="14"/>
        <v>274</v>
      </c>
      <c r="L58" s="3198">
        <f t="shared" si="14"/>
        <v>35550</v>
      </c>
      <c r="M58" s="3198">
        <f t="shared" si="14"/>
        <v>11698.380000000001</v>
      </c>
      <c r="N58" s="3198">
        <f t="shared" si="14"/>
        <v>9639.14</v>
      </c>
      <c r="O58" s="3198">
        <f t="shared" si="14"/>
        <v>10366.48</v>
      </c>
      <c r="P58" s="3198">
        <f t="shared" si="14"/>
        <v>3846</v>
      </c>
      <c r="Q58" s="3199">
        <f t="shared" si="14"/>
        <v>23051.52</v>
      </c>
    </row>
    <row r="59" spans="2:17" s="3219" customFormat="1" ht="14.25" customHeight="1" thickBot="1">
      <c r="B59" s="3213"/>
      <c r="C59" s="3214" t="s">
        <v>3070</v>
      </c>
      <c r="D59" s="3215">
        <f>SUM(D58,D39)</f>
        <v>261958.99999999997</v>
      </c>
      <c r="E59" s="3216">
        <f t="shared" ref="E59:Q59" si="15">SUM(E58,E39)</f>
        <v>133675</v>
      </c>
      <c r="F59" s="3216">
        <f t="shared" si="15"/>
        <v>129654</v>
      </c>
      <c r="G59" s="3216">
        <f t="shared" si="15"/>
        <v>2285</v>
      </c>
      <c r="H59" s="3216">
        <f t="shared" si="15"/>
        <v>486</v>
      </c>
      <c r="I59" s="3216">
        <f t="shared" si="15"/>
        <v>150</v>
      </c>
      <c r="J59" s="3216">
        <f t="shared" si="15"/>
        <v>191</v>
      </c>
      <c r="K59" s="3216">
        <f t="shared" si="15"/>
        <v>909</v>
      </c>
      <c r="L59" s="3217">
        <f t="shared" si="15"/>
        <v>128283.99999999999</v>
      </c>
      <c r="M59" s="3217">
        <f t="shared" si="15"/>
        <v>41532.649999999994</v>
      </c>
      <c r="N59" s="3217">
        <f t="shared" si="15"/>
        <v>36652.83</v>
      </c>
      <c r="O59" s="3217">
        <f t="shared" si="15"/>
        <v>38215.520000000004</v>
      </c>
      <c r="P59" s="3217">
        <f t="shared" si="15"/>
        <v>11883</v>
      </c>
      <c r="Q59" s="3218">
        <f t="shared" si="15"/>
        <v>53476.11</v>
      </c>
    </row>
    <row r="60" spans="2:17">
      <c r="D60" s="3181">
        <v>261959</v>
      </c>
      <c r="Q60" s="3181">
        <f>Q59/F59</f>
        <v>0.41245245036790229</v>
      </c>
    </row>
    <row r="61" spans="2:17">
      <c r="D61" s="3181">
        <f>D60-D59</f>
        <v>0</v>
      </c>
    </row>
  </sheetData>
  <mergeCells count="2">
    <mergeCell ref="L7:P7"/>
    <mergeCell ref="E7:K7"/>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35"/>
    <col min="2" max="2" width="7.125" style="3235" customWidth="1"/>
    <col min="3" max="3" width="16.375" style="3235" customWidth="1"/>
    <col min="4" max="4" width="8.25" style="3235" customWidth="1"/>
    <col min="5" max="5" width="9.125" style="3235" customWidth="1"/>
    <col min="6" max="16384" width="9" style="3235"/>
  </cols>
  <sheetData>
    <row r="1" spans="2:19">
      <c r="B1" s="3326" t="s">
        <v>3007</v>
      </c>
      <c r="C1" s="3326" t="s">
        <v>3008</v>
      </c>
      <c r="D1" s="3326" t="s">
        <v>3009</v>
      </c>
      <c r="E1" s="3325" t="s">
        <v>3005</v>
      </c>
      <c r="F1" s="3325"/>
      <c r="G1" s="3325"/>
      <c r="H1" s="3325"/>
      <c r="I1" s="3325"/>
      <c r="J1" s="3325"/>
      <c r="K1" s="3325"/>
      <c r="L1" s="3325" t="s">
        <v>3006</v>
      </c>
      <c r="M1" s="3325"/>
      <c r="N1" s="3325"/>
      <c r="O1" s="3325"/>
      <c r="P1" s="3325"/>
      <c r="Q1" s="3240"/>
    </row>
    <row r="2" spans="2:19">
      <c r="B2" s="3326"/>
      <c r="C2" s="3326"/>
      <c r="D2" s="3326"/>
      <c r="E2" s="3236" t="s">
        <v>3010</v>
      </c>
      <c r="F2" s="3236" t="s">
        <v>3011</v>
      </c>
      <c r="G2" s="3238" t="s">
        <v>3058</v>
      </c>
      <c r="H2" s="3238" t="s">
        <v>3056</v>
      </c>
      <c r="I2" s="3238" t="s">
        <v>3066</v>
      </c>
      <c r="J2" s="3238" t="s">
        <v>3028</v>
      </c>
      <c r="K2" s="3236" t="s">
        <v>3012</v>
      </c>
      <c r="L2" s="3236" t="s">
        <v>3013</v>
      </c>
      <c r="M2" s="3236" t="s">
        <v>3014</v>
      </c>
      <c r="N2" s="3238" t="s">
        <v>3063</v>
      </c>
      <c r="O2" s="3236" t="s">
        <v>3012</v>
      </c>
      <c r="P2" s="3238" t="s">
        <v>3028</v>
      </c>
      <c r="Q2" s="3238" t="s">
        <v>3029</v>
      </c>
      <c r="R2" s="3235" t="s">
        <v>3015</v>
      </c>
    </row>
    <row r="3" spans="2:19">
      <c r="B3" s="3241">
        <v>1</v>
      </c>
      <c r="C3" s="3236" t="s">
        <v>3016</v>
      </c>
      <c r="D3" s="3236">
        <f>SUM(E3,L3)</f>
        <v>7954.44</v>
      </c>
      <c r="E3" s="3236">
        <f>SUM(F3:K3)</f>
        <v>5304.99</v>
      </c>
      <c r="F3" s="3236">
        <v>5304.99</v>
      </c>
      <c r="G3" s="3236"/>
      <c r="H3" s="3236"/>
      <c r="I3" s="3236"/>
      <c r="J3" s="3236"/>
      <c r="K3" s="3236"/>
      <c r="L3" s="3236">
        <f>SUM(M3:P3)</f>
        <v>2649.45</v>
      </c>
      <c r="M3" s="3236">
        <v>1209.7</v>
      </c>
      <c r="N3" s="3236"/>
      <c r="O3" s="3236">
        <v>1439.75</v>
      </c>
      <c r="P3" s="3236"/>
      <c r="Q3" s="3236">
        <v>4418.1899999999996</v>
      </c>
      <c r="R3" s="3235">
        <v>6</v>
      </c>
    </row>
    <row r="4" spans="2:19">
      <c r="B4" s="3241">
        <v>2</v>
      </c>
      <c r="C4" s="3236" t="s">
        <v>3017</v>
      </c>
      <c r="D4" s="3236">
        <f t="shared" ref="D4:D51" si="0">SUM(E4,L4)</f>
        <v>7952.61</v>
      </c>
      <c r="E4" s="3236">
        <f t="shared" ref="E4:E51" si="1">SUM(F4:K4)</f>
        <v>5304.99</v>
      </c>
      <c r="F4" s="3236">
        <v>5304.99</v>
      </c>
      <c r="G4" s="3236"/>
      <c r="H4" s="3236"/>
      <c r="I4" s="3236"/>
      <c r="J4" s="3236"/>
      <c r="K4" s="3236"/>
      <c r="L4" s="3236">
        <f t="shared" ref="L4:L51" si="2">SUM(M4:P4)</f>
        <v>2647.62</v>
      </c>
      <c r="M4" s="3236">
        <v>1209.7</v>
      </c>
      <c r="N4" s="3236"/>
      <c r="O4" s="3236">
        <v>1437.92</v>
      </c>
      <c r="P4" s="3236"/>
      <c r="Q4" s="3236"/>
      <c r="R4" s="3235">
        <v>6</v>
      </c>
    </row>
    <row r="5" spans="2:19">
      <c r="B5" s="3241">
        <v>3</v>
      </c>
      <c r="C5" s="3236" t="s">
        <v>3018</v>
      </c>
      <c r="D5" s="3236">
        <f t="shared" si="0"/>
        <v>11166.619999999999</v>
      </c>
      <c r="E5" s="3236">
        <f t="shared" si="1"/>
        <v>7477.88</v>
      </c>
      <c r="F5" s="3236">
        <v>7417.88</v>
      </c>
      <c r="G5" s="3236"/>
      <c r="H5" s="3236"/>
      <c r="I5" s="3236"/>
      <c r="J5" s="3236"/>
      <c r="K5" s="3236">
        <v>60</v>
      </c>
      <c r="L5" s="3236">
        <f t="shared" si="2"/>
        <v>3688.74</v>
      </c>
      <c r="M5" s="3236">
        <v>1689.32</v>
      </c>
      <c r="N5" s="3236"/>
      <c r="O5" s="3236">
        <f>1999.42</f>
        <v>1999.42</v>
      </c>
      <c r="P5" s="3236"/>
      <c r="Q5" s="3236"/>
      <c r="R5" s="3235">
        <v>6</v>
      </c>
    </row>
    <row r="6" spans="2:19">
      <c r="B6" s="3241">
        <v>4</v>
      </c>
      <c r="C6" s="3236" t="s">
        <v>3019</v>
      </c>
      <c r="D6" s="3236">
        <f t="shared" si="0"/>
        <v>4812.1500000000005</v>
      </c>
      <c r="E6" s="3236">
        <f t="shared" si="1"/>
        <v>3194.26</v>
      </c>
      <c r="F6" s="3236">
        <v>3194.26</v>
      </c>
      <c r="G6" s="3236"/>
      <c r="H6" s="3236"/>
      <c r="I6" s="3236"/>
      <c r="J6" s="3236"/>
      <c r="K6" s="3236"/>
      <c r="L6" s="3236">
        <f t="shared" si="2"/>
        <v>1617.89</v>
      </c>
      <c r="M6" s="3236">
        <v>826.19</v>
      </c>
      <c r="N6" s="3236"/>
      <c r="O6" s="3236">
        <v>791.7</v>
      </c>
      <c r="P6" s="3236"/>
      <c r="Q6" s="3236"/>
      <c r="R6" s="3235">
        <v>6</v>
      </c>
    </row>
    <row r="7" spans="2:19">
      <c r="B7" s="3241">
        <v>5</v>
      </c>
      <c r="C7" s="3236" t="s">
        <v>3020</v>
      </c>
      <c r="D7" s="3236">
        <f t="shared" si="0"/>
        <v>6394.5</v>
      </c>
      <c r="E7" s="3236">
        <f t="shared" si="1"/>
        <v>4262.7299999999996</v>
      </c>
      <c r="F7" s="3236">
        <v>4262.7299999999996</v>
      </c>
      <c r="G7" s="3236"/>
      <c r="H7" s="3236"/>
      <c r="I7" s="3236"/>
      <c r="J7" s="3236"/>
      <c r="K7" s="3236"/>
      <c r="L7" s="3236">
        <f t="shared" si="2"/>
        <v>2131.77</v>
      </c>
      <c r="M7" s="3236">
        <v>1063.9100000000001</v>
      </c>
      <c r="N7" s="3236"/>
      <c r="O7" s="3236">
        <v>1067.8599999999999</v>
      </c>
      <c r="P7" s="3236"/>
      <c r="Q7" s="3236"/>
      <c r="R7" s="3235">
        <v>6</v>
      </c>
    </row>
    <row r="8" spans="2:19">
      <c r="B8" s="3241">
        <v>6</v>
      </c>
      <c r="C8" s="3236" t="s">
        <v>3021</v>
      </c>
      <c r="D8" s="3236">
        <f t="shared" si="0"/>
        <v>8152.09</v>
      </c>
      <c r="E8" s="3236">
        <f t="shared" si="1"/>
        <v>5596.41</v>
      </c>
      <c r="F8" s="3236">
        <v>5570.41</v>
      </c>
      <c r="G8" s="3236"/>
      <c r="H8" s="3236"/>
      <c r="I8" s="3236"/>
      <c r="J8" s="3236">
        <v>26</v>
      </c>
      <c r="K8" s="3236"/>
      <c r="L8" s="3236">
        <f t="shared" si="2"/>
        <v>2555.6800000000003</v>
      </c>
      <c r="M8" s="3236">
        <v>1155.48</v>
      </c>
      <c r="N8" s="3236"/>
      <c r="O8" s="3236">
        <v>1400.2</v>
      </c>
      <c r="P8" s="3236"/>
      <c r="Q8" s="3236"/>
      <c r="R8" s="3235">
        <v>6</v>
      </c>
    </row>
    <row r="9" spans="2:19">
      <c r="B9" s="3241">
        <v>7</v>
      </c>
      <c r="C9" s="3236" t="s">
        <v>3022</v>
      </c>
      <c r="D9" s="3236">
        <f t="shared" si="0"/>
        <v>11406.08</v>
      </c>
      <c r="E9" s="3236">
        <f t="shared" si="1"/>
        <v>7690.47</v>
      </c>
      <c r="F9" s="3236">
        <v>7690.47</v>
      </c>
      <c r="G9" s="3236"/>
      <c r="H9" s="3236"/>
      <c r="I9" s="3236"/>
      <c r="J9" s="3236"/>
      <c r="K9" s="3236"/>
      <c r="L9" s="3236">
        <f t="shared" si="2"/>
        <v>3715.6099999999997</v>
      </c>
      <c r="M9" s="3236">
        <v>1789.87</v>
      </c>
      <c r="N9" s="3236"/>
      <c r="O9" s="3236">
        <v>1925.74</v>
      </c>
      <c r="P9" s="3236"/>
      <c r="Q9" s="3236">
        <v>6397.59</v>
      </c>
      <c r="R9" s="3235">
        <v>6</v>
      </c>
      <c r="S9" s="3237"/>
    </row>
    <row r="10" spans="2:19">
      <c r="B10" s="3241">
        <v>8</v>
      </c>
      <c r="C10" s="3236" t="s">
        <v>3023</v>
      </c>
      <c r="D10" s="3236">
        <f t="shared" si="0"/>
        <v>9657.2900000000009</v>
      </c>
      <c r="E10" s="3236">
        <f t="shared" si="1"/>
        <v>6561.51</v>
      </c>
      <c r="F10" s="3236">
        <v>6561.51</v>
      </c>
      <c r="G10" s="3236"/>
      <c r="H10" s="3236"/>
      <c r="I10" s="3236"/>
      <c r="J10" s="3236"/>
      <c r="K10" s="3236"/>
      <c r="L10" s="3236">
        <f t="shared" si="2"/>
        <v>3095.7799999999997</v>
      </c>
      <c r="M10" s="3236">
        <v>1401.08</v>
      </c>
      <c r="N10" s="3236"/>
      <c r="O10" s="3236">
        <v>1694.7</v>
      </c>
      <c r="P10" s="3236"/>
      <c r="Q10" s="3236">
        <v>5446.12</v>
      </c>
      <c r="R10" s="3235">
        <v>6</v>
      </c>
    </row>
    <row r="11" spans="2:19">
      <c r="B11" s="3241">
        <v>9</v>
      </c>
      <c r="C11" s="3236" t="s">
        <v>3024</v>
      </c>
      <c r="D11" s="3236">
        <f t="shared" si="0"/>
        <v>8170.09</v>
      </c>
      <c r="E11" s="3236">
        <f t="shared" si="1"/>
        <v>5591.71</v>
      </c>
      <c r="F11" s="3236">
        <v>5591.71</v>
      </c>
      <c r="G11" s="3236"/>
      <c r="H11" s="3236"/>
      <c r="I11" s="3236"/>
      <c r="J11" s="3236"/>
      <c r="K11" s="3236"/>
      <c r="L11" s="3236">
        <f t="shared" si="2"/>
        <v>2578.38</v>
      </c>
      <c r="M11" s="3236">
        <v>1155.48</v>
      </c>
      <c r="N11" s="3236"/>
      <c r="O11" s="3236">
        <v>1422.9</v>
      </c>
      <c r="P11" s="3236"/>
      <c r="Q11" s="3236"/>
      <c r="R11" s="3235">
        <v>6</v>
      </c>
    </row>
    <row r="12" spans="2:19">
      <c r="B12" s="3241">
        <v>10</v>
      </c>
      <c r="C12" s="3236" t="s">
        <v>3025</v>
      </c>
      <c r="D12" s="3236">
        <f t="shared" si="0"/>
        <v>4335.25</v>
      </c>
      <c r="E12" s="3236">
        <f t="shared" si="1"/>
        <v>1877.66</v>
      </c>
      <c r="F12" s="3236">
        <v>1877.66</v>
      </c>
      <c r="G12" s="3236"/>
      <c r="H12" s="3236"/>
      <c r="I12" s="3236"/>
      <c r="J12" s="3236"/>
      <c r="K12" s="3236"/>
      <c r="L12" s="3236">
        <f t="shared" si="2"/>
        <v>2457.59</v>
      </c>
      <c r="M12" s="3236">
        <v>1464.72</v>
      </c>
      <c r="N12" s="3236"/>
      <c r="O12" s="3236">
        <v>992.87</v>
      </c>
      <c r="P12" s="3236"/>
      <c r="Q12" s="3236"/>
      <c r="R12" s="3235">
        <v>4</v>
      </c>
    </row>
    <row r="13" spans="2:19">
      <c r="B13" s="3241">
        <v>11</v>
      </c>
      <c r="C13" s="3236" t="s">
        <v>3026</v>
      </c>
      <c r="D13" s="3236">
        <f t="shared" si="0"/>
        <v>3255.17</v>
      </c>
      <c r="E13" s="3236">
        <f t="shared" si="1"/>
        <v>1410.79</v>
      </c>
      <c r="F13" s="3236">
        <v>1410.79</v>
      </c>
      <c r="G13" s="3236"/>
      <c r="H13" s="3236"/>
      <c r="I13" s="3236"/>
      <c r="J13" s="3236"/>
      <c r="K13" s="3236"/>
      <c r="L13" s="3236">
        <f t="shared" si="2"/>
        <v>1844.3799999999999</v>
      </c>
      <c r="M13" s="3236">
        <v>1098.0899999999999</v>
      </c>
      <c r="N13" s="3236"/>
      <c r="O13" s="3236">
        <v>746.29</v>
      </c>
      <c r="P13" s="3236"/>
      <c r="Q13" s="3236"/>
      <c r="R13" s="3235">
        <v>4</v>
      </c>
    </row>
    <row r="14" spans="2:19">
      <c r="B14" s="3241">
        <v>12</v>
      </c>
      <c r="C14" s="3236" t="s">
        <v>3027</v>
      </c>
      <c r="D14" s="3236">
        <f t="shared" si="0"/>
        <v>4335.25</v>
      </c>
      <c r="E14" s="3236">
        <f t="shared" si="1"/>
        <v>1877.66</v>
      </c>
      <c r="F14" s="3236">
        <v>1877.66</v>
      </c>
      <c r="G14" s="3236"/>
      <c r="H14" s="3236"/>
      <c r="I14" s="3236"/>
      <c r="J14" s="3236"/>
      <c r="K14" s="3236"/>
      <c r="L14" s="3236">
        <f t="shared" si="2"/>
        <v>2457.59</v>
      </c>
      <c r="M14" s="3236">
        <v>1464.72</v>
      </c>
      <c r="N14" s="3236"/>
      <c r="O14" s="3236">
        <v>992.87</v>
      </c>
      <c r="P14" s="3236"/>
      <c r="Q14" s="3236"/>
      <c r="R14" s="3235">
        <v>4</v>
      </c>
    </row>
    <row r="15" spans="2:19">
      <c r="B15" s="3241">
        <v>13</v>
      </c>
      <c r="C15" s="3236" t="s">
        <v>3030</v>
      </c>
      <c r="D15" s="3236">
        <f t="shared" si="0"/>
        <v>8244.5299999999988</v>
      </c>
      <c r="E15" s="3236">
        <f t="shared" si="1"/>
        <v>5591.71</v>
      </c>
      <c r="F15" s="3236">
        <v>5591.71</v>
      </c>
      <c r="G15" s="3236"/>
      <c r="H15" s="3236"/>
      <c r="I15" s="3236"/>
      <c r="J15" s="3236"/>
      <c r="K15" s="3236"/>
      <c r="L15" s="3236">
        <f t="shared" si="2"/>
        <v>2652.8199999999997</v>
      </c>
      <c r="M15" s="3236">
        <v>1310.1099999999999</v>
      </c>
      <c r="N15" s="3236"/>
      <c r="O15" s="3236">
        <v>1342.71</v>
      </c>
      <c r="P15" s="3236"/>
      <c r="Q15" s="3236"/>
      <c r="R15" s="3235">
        <v>6</v>
      </c>
    </row>
    <row r="16" spans="2:19">
      <c r="B16" s="3241">
        <v>14</v>
      </c>
      <c r="C16" s="3236" t="s">
        <v>3031</v>
      </c>
      <c r="D16" s="3236">
        <f t="shared" si="0"/>
        <v>8128.57</v>
      </c>
      <c r="E16" s="3236">
        <f t="shared" si="1"/>
        <v>5461.5</v>
      </c>
      <c r="F16" s="3236">
        <v>5461.5</v>
      </c>
      <c r="G16" s="3236"/>
      <c r="H16" s="3236"/>
      <c r="I16" s="3236"/>
      <c r="J16" s="3236"/>
      <c r="K16" s="3236"/>
      <c r="L16" s="3236">
        <f t="shared" si="2"/>
        <v>2667.0699999999997</v>
      </c>
      <c r="M16" s="3236">
        <v>1288.52</v>
      </c>
      <c r="N16" s="3236"/>
      <c r="O16" s="3236">
        <v>1378.55</v>
      </c>
      <c r="P16" s="3236"/>
      <c r="Q16" s="3236">
        <v>4507.37</v>
      </c>
      <c r="R16" s="3235">
        <v>6</v>
      </c>
    </row>
    <row r="17" spans="2:18">
      <c r="B17" s="3241">
        <v>15</v>
      </c>
      <c r="C17" s="3236" t="s">
        <v>3032</v>
      </c>
      <c r="D17" s="3236">
        <f t="shared" si="0"/>
        <v>6540.0499999999993</v>
      </c>
      <c r="E17" s="3236">
        <f t="shared" si="1"/>
        <v>4401.03</v>
      </c>
      <c r="F17" s="3236">
        <v>4401.03</v>
      </c>
      <c r="G17" s="3236"/>
      <c r="H17" s="3236"/>
      <c r="I17" s="3236"/>
      <c r="J17" s="3236"/>
      <c r="K17" s="3236"/>
      <c r="L17" s="3236">
        <f t="shared" si="2"/>
        <v>2139.02</v>
      </c>
      <c r="M17" s="3236">
        <v>1064.05</v>
      </c>
      <c r="N17" s="3236"/>
      <c r="O17" s="3236">
        <v>1074.97</v>
      </c>
      <c r="P17" s="3236"/>
      <c r="Q17" s="3236">
        <v>3645.77</v>
      </c>
      <c r="R17" s="3235">
        <v>6</v>
      </c>
    </row>
    <row r="18" spans="2:18">
      <c r="B18" s="3241">
        <v>16</v>
      </c>
      <c r="C18" s="3236" t="s">
        <v>3033</v>
      </c>
      <c r="D18" s="3236">
        <f t="shared" si="0"/>
        <v>8522.1899999999987</v>
      </c>
      <c r="E18" s="3236">
        <f t="shared" si="1"/>
        <v>5816.41</v>
      </c>
      <c r="F18" s="3236">
        <v>5816.41</v>
      </c>
      <c r="G18" s="3236"/>
      <c r="H18" s="3236"/>
      <c r="I18" s="3236"/>
      <c r="J18" s="3236"/>
      <c r="K18" s="3236"/>
      <c r="L18" s="3236">
        <f t="shared" si="2"/>
        <v>2705.7799999999997</v>
      </c>
      <c r="M18" s="3236">
        <v>1410.52</v>
      </c>
      <c r="N18" s="3236"/>
      <c r="O18" s="3236">
        <v>1295.26</v>
      </c>
      <c r="P18" s="3236"/>
      <c r="Q18" s="3236"/>
      <c r="R18" s="3235">
        <v>6</v>
      </c>
    </row>
    <row r="19" spans="2:18">
      <c r="B19" s="3241">
        <v>17</v>
      </c>
      <c r="C19" s="3236" t="s">
        <v>3034</v>
      </c>
      <c r="D19" s="3236">
        <f t="shared" si="0"/>
        <v>4335.25</v>
      </c>
      <c r="E19" s="3236">
        <f t="shared" si="1"/>
        <v>1877.66</v>
      </c>
      <c r="F19" s="3236">
        <v>1877.66</v>
      </c>
      <c r="G19" s="3236"/>
      <c r="H19" s="3236"/>
      <c r="I19" s="3236"/>
      <c r="J19" s="3236"/>
      <c r="K19" s="3236"/>
      <c r="L19" s="3236">
        <f t="shared" si="2"/>
        <v>2457.59</v>
      </c>
      <c r="M19" s="3236">
        <v>1464.72</v>
      </c>
      <c r="N19" s="3236"/>
      <c r="O19" s="3236">
        <v>992.87</v>
      </c>
      <c r="P19" s="3236"/>
      <c r="Q19" s="3236"/>
      <c r="R19" s="3235">
        <v>4</v>
      </c>
    </row>
    <row r="20" spans="2:18">
      <c r="B20" s="3241">
        <v>18</v>
      </c>
      <c r="C20" s="3236" t="s">
        <v>3035</v>
      </c>
      <c r="D20" s="3236">
        <f t="shared" si="0"/>
        <v>3255.17</v>
      </c>
      <c r="E20" s="3236">
        <f t="shared" si="1"/>
        <v>1410.79</v>
      </c>
      <c r="F20" s="3236">
        <v>1410.79</v>
      </c>
      <c r="G20" s="3236"/>
      <c r="H20" s="3236"/>
      <c r="I20" s="3236"/>
      <c r="J20" s="3236"/>
      <c r="K20" s="3236"/>
      <c r="L20" s="3236">
        <f t="shared" si="2"/>
        <v>1844.3799999999999</v>
      </c>
      <c r="M20" s="3236">
        <v>1098.0899999999999</v>
      </c>
      <c r="N20" s="3236"/>
      <c r="O20" s="3236">
        <v>746.29</v>
      </c>
      <c r="P20" s="3236"/>
      <c r="Q20" s="3236"/>
      <c r="R20" s="3235">
        <v>4</v>
      </c>
    </row>
    <row r="21" spans="2:18">
      <c r="B21" s="3241">
        <v>19</v>
      </c>
      <c r="C21" s="3236" t="s">
        <v>3036</v>
      </c>
      <c r="D21" s="3236">
        <f t="shared" si="0"/>
        <v>3255.17</v>
      </c>
      <c r="E21" s="3236">
        <f t="shared" si="1"/>
        <v>1410.79</v>
      </c>
      <c r="F21" s="3236">
        <v>1410.79</v>
      </c>
      <c r="G21" s="3236"/>
      <c r="H21" s="3236"/>
      <c r="I21" s="3236"/>
      <c r="J21" s="3236"/>
      <c r="K21" s="3236"/>
      <c r="L21" s="3236">
        <f t="shared" si="2"/>
        <v>1844.3799999999999</v>
      </c>
      <c r="M21" s="3236">
        <v>1098.0899999999999</v>
      </c>
      <c r="N21" s="3236"/>
      <c r="O21" s="3236">
        <v>746.29</v>
      </c>
      <c r="P21" s="3236"/>
      <c r="Q21" s="3236"/>
      <c r="R21" s="3235">
        <v>4</v>
      </c>
    </row>
    <row r="22" spans="2:18">
      <c r="B22" s="3241">
        <v>20</v>
      </c>
      <c r="C22" s="3236" t="s">
        <v>3037</v>
      </c>
      <c r="D22" s="3236">
        <f t="shared" si="0"/>
        <v>4335.25</v>
      </c>
      <c r="E22" s="3236">
        <f t="shared" si="1"/>
        <v>1877.66</v>
      </c>
      <c r="F22" s="3236">
        <v>1877.66</v>
      </c>
      <c r="G22" s="3236"/>
      <c r="H22" s="3236"/>
      <c r="I22" s="3236"/>
      <c r="J22" s="3236"/>
      <c r="K22" s="3236"/>
      <c r="L22" s="3236">
        <f t="shared" si="2"/>
        <v>2457.59</v>
      </c>
      <c r="M22" s="3236">
        <v>1464.72</v>
      </c>
      <c r="N22" s="3236"/>
      <c r="O22" s="3236">
        <v>992.87</v>
      </c>
      <c r="P22" s="3236"/>
      <c r="Q22" s="3236"/>
      <c r="R22" s="3235">
        <v>4</v>
      </c>
    </row>
    <row r="23" spans="2:18">
      <c r="B23" s="3241">
        <v>21</v>
      </c>
      <c r="C23" s="3236" t="s">
        <v>3038</v>
      </c>
      <c r="D23" s="3236">
        <f t="shared" si="0"/>
        <v>4987.71</v>
      </c>
      <c r="E23" s="3236">
        <f t="shared" si="1"/>
        <v>3352.58</v>
      </c>
      <c r="F23" s="3236">
        <v>3352.58</v>
      </c>
      <c r="G23" s="3236"/>
      <c r="H23" s="3236"/>
      <c r="I23" s="3236"/>
      <c r="J23" s="3236"/>
      <c r="K23" s="3236"/>
      <c r="L23" s="3236">
        <f t="shared" si="2"/>
        <v>1635.13</v>
      </c>
      <c r="M23" s="3236">
        <v>826.19</v>
      </c>
      <c r="N23" s="3236"/>
      <c r="O23" s="3236">
        <v>808.94</v>
      </c>
      <c r="P23" s="3236"/>
      <c r="Q23" s="3236">
        <v>2776.12</v>
      </c>
      <c r="R23" s="3235">
        <v>6</v>
      </c>
    </row>
    <row r="24" spans="2:18">
      <c r="B24" s="3241">
        <v>22</v>
      </c>
      <c r="C24" s="3236" t="s">
        <v>3039</v>
      </c>
      <c r="D24" s="3236">
        <f t="shared" si="0"/>
        <v>8573</v>
      </c>
      <c r="E24" s="3236">
        <f t="shared" si="1"/>
        <v>5857.15</v>
      </c>
      <c r="F24" s="3236">
        <v>5857.15</v>
      </c>
      <c r="G24" s="3236"/>
      <c r="H24" s="3236"/>
      <c r="I24" s="3236"/>
      <c r="J24" s="3236"/>
      <c r="K24" s="3236"/>
      <c r="L24" s="3236">
        <f t="shared" si="2"/>
        <v>2715.85</v>
      </c>
      <c r="M24" s="3236">
        <v>1410.52</v>
      </c>
      <c r="N24" s="3236"/>
      <c r="O24" s="3236">
        <v>1305.33</v>
      </c>
      <c r="P24" s="3236"/>
      <c r="Q24" s="3236">
        <v>3233.43</v>
      </c>
      <c r="R24" s="3235">
        <v>6</v>
      </c>
    </row>
    <row r="25" spans="2:18">
      <c r="B25" s="3241">
        <v>23</v>
      </c>
      <c r="C25" s="3236" t="s">
        <v>3040</v>
      </c>
      <c r="D25" s="3236">
        <f t="shared" si="0"/>
        <v>5476.2000000000007</v>
      </c>
      <c r="E25" s="3236">
        <f t="shared" si="1"/>
        <v>2352.98</v>
      </c>
      <c r="F25" s="3236">
        <v>2352.98</v>
      </c>
      <c r="G25" s="3236"/>
      <c r="H25" s="3236"/>
      <c r="I25" s="3236"/>
      <c r="J25" s="3236"/>
      <c r="K25" s="3236"/>
      <c r="L25" s="3236">
        <f t="shared" si="2"/>
        <v>3123.2200000000003</v>
      </c>
      <c r="M25" s="3236">
        <v>1870.48</v>
      </c>
      <c r="N25" s="3236"/>
      <c r="O25" s="3236">
        <v>1252.74</v>
      </c>
      <c r="P25" s="3236"/>
      <c r="Q25" s="3236"/>
      <c r="R25" s="3235">
        <v>4</v>
      </c>
    </row>
    <row r="26" spans="2:18">
      <c r="B26" s="3241">
        <v>24</v>
      </c>
      <c r="C26" s="3236" t="s">
        <v>3055</v>
      </c>
      <c r="D26" s="3236">
        <f t="shared" si="0"/>
        <v>69.760000000000005</v>
      </c>
      <c r="E26" s="3236">
        <f t="shared" si="1"/>
        <v>69.760000000000005</v>
      </c>
      <c r="F26" s="3236"/>
      <c r="G26" s="3236"/>
      <c r="H26" s="3236">
        <v>69.760000000000005</v>
      </c>
      <c r="I26" s="3236"/>
      <c r="J26" s="3236"/>
      <c r="K26" s="3236"/>
      <c r="L26" s="3236">
        <f t="shared" si="2"/>
        <v>0</v>
      </c>
      <c r="M26" s="3236"/>
      <c r="N26" s="3236"/>
      <c r="O26" s="3236"/>
      <c r="P26" s="3236"/>
      <c r="Q26" s="3236"/>
    </row>
    <row r="27" spans="2:18">
      <c r="B27" s="3241">
        <v>25</v>
      </c>
      <c r="C27" s="3236" t="s">
        <v>3057</v>
      </c>
      <c r="D27" s="3236">
        <f t="shared" si="0"/>
        <v>1134.56</v>
      </c>
      <c r="E27" s="3236">
        <f t="shared" si="1"/>
        <v>1134.56</v>
      </c>
      <c r="F27" s="3236"/>
      <c r="G27" s="3236">
        <v>1066.56</v>
      </c>
      <c r="H27" s="3236">
        <v>8</v>
      </c>
      <c r="I27" s="3236"/>
      <c r="J27" s="3236"/>
      <c r="K27" s="3236">
        <v>60</v>
      </c>
      <c r="L27" s="3236">
        <f t="shared" si="2"/>
        <v>0</v>
      </c>
      <c r="M27" s="3236"/>
      <c r="N27" s="3236"/>
      <c r="O27" s="3236"/>
      <c r="P27" s="3236"/>
      <c r="Q27" s="3236"/>
    </row>
    <row r="28" spans="2:18">
      <c r="B28" s="3241">
        <v>26</v>
      </c>
      <c r="C28" s="3236" t="s">
        <v>3059</v>
      </c>
      <c r="D28" s="3236">
        <f t="shared" si="0"/>
        <v>153</v>
      </c>
      <c r="E28" s="3236">
        <f t="shared" si="1"/>
        <v>153</v>
      </c>
      <c r="F28" s="3236"/>
      <c r="G28" s="3236"/>
      <c r="H28" s="3236"/>
      <c r="I28" s="3236"/>
      <c r="J28" s="3236"/>
      <c r="K28" s="3236">
        <v>153</v>
      </c>
      <c r="L28" s="3236">
        <f t="shared" si="2"/>
        <v>0</v>
      </c>
      <c r="M28" s="3236"/>
      <c r="N28" s="3236"/>
      <c r="O28" s="3236"/>
      <c r="P28" s="3236"/>
      <c r="Q28" s="3236"/>
    </row>
    <row r="29" spans="2:18">
      <c r="B29" s="3241">
        <v>27</v>
      </c>
      <c r="C29" s="3236" t="s">
        <v>3060</v>
      </c>
      <c r="D29" s="3236">
        <f t="shared" si="0"/>
        <v>153</v>
      </c>
      <c r="E29" s="3236">
        <f t="shared" si="1"/>
        <v>153</v>
      </c>
      <c r="F29" s="3236"/>
      <c r="G29" s="3236"/>
      <c r="H29" s="3236"/>
      <c r="I29" s="3236"/>
      <c r="J29" s="3236"/>
      <c r="K29" s="3236">
        <v>153</v>
      </c>
      <c r="L29" s="3236">
        <f t="shared" si="2"/>
        <v>0</v>
      </c>
      <c r="M29" s="3236"/>
      <c r="N29" s="3236"/>
      <c r="O29" s="3236"/>
      <c r="P29" s="3236"/>
      <c r="Q29" s="3236"/>
    </row>
    <row r="30" spans="2:18">
      <c r="B30" s="3241">
        <v>28</v>
      </c>
      <c r="C30" s="3236" t="s">
        <v>3061</v>
      </c>
      <c r="D30" s="3236">
        <f t="shared" si="0"/>
        <v>189</v>
      </c>
      <c r="E30" s="3236">
        <f t="shared" si="1"/>
        <v>189</v>
      </c>
      <c r="F30" s="3236"/>
      <c r="G30" s="3236"/>
      <c r="H30" s="3236"/>
      <c r="I30" s="3236"/>
      <c r="J30" s="3236"/>
      <c r="K30" s="3236">
        <v>189</v>
      </c>
      <c r="L30" s="3236">
        <f t="shared" si="2"/>
        <v>0</v>
      </c>
      <c r="M30" s="3236"/>
      <c r="N30" s="3236"/>
      <c r="O30" s="3236"/>
      <c r="P30" s="3236"/>
      <c r="Q30" s="3236"/>
    </row>
    <row r="31" spans="2:18">
      <c r="B31" s="3241">
        <v>29</v>
      </c>
      <c r="C31" s="3236" t="s">
        <v>3062</v>
      </c>
      <c r="D31" s="3236">
        <f t="shared" si="0"/>
        <v>35070.69</v>
      </c>
      <c r="E31" s="3236">
        <f t="shared" si="1"/>
        <v>20</v>
      </c>
      <c r="F31" s="3236"/>
      <c r="G31" s="3236"/>
      <c r="H31" s="3236"/>
      <c r="I31" s="3236"/>
      <c r="J31" s="3236"/>
      <c r="K31" s="3236">
        <v>20</v>
      </c>
      <c r="L31" s="3236">
        <f t="shared" si="2"/>
        <v>35050.69</v>
      </c>
      <c r="M31" s="3236"/>
      <c r="N31" s="3236">
        <f>35050.69-P31</f>
        <v>27013.690000000002</v>
      </c>
      <c r="O31" s="3236"/>
      <c r="P31" s="3236">
        <f>8037</f>
        <v>8037</v>
      </c>
      <c r="Q31" s="3236"/>
    </row>
    <row r="32" spans="2:18">
      <c r="B32" s="3241">
        <v>30</v>
      </c>
      <c r="C32" s="3238" t="s">
        <v>3064</v>
      </c>
      <c r="D32" s="3236">
        <f t="shared" si="0"/>
        <v>115</v>
      </c>
      <c r="E32" s="3236">
        <f t="shared" si="1"/>
        <v>115</v>
      </c>
      <c r="F32" s="3236"/>
      <c r="G32" s="3236"/>
      <c r="H32" s="3236"/>
      <c r="I32" s="3236"/>
      <c r="J32" s="3236">
        <v>115</v>
      </c>
      <c r="K32" s="3236"/>
      <c r="L32" s="3236"/>
      <c r="M32" s="3236"/>
      <c r="N32" s="3236"/>
      <c r="O32" s="3236"/>
      <c r="P32" s="3236"/>
      <c r="Q32" s="3236"/>
    </row>
    <row r="33" spans="2:18" ht="14.25" customHeight="1">
      <c r="B33" s="3241"/>
      <c r="C33" s="3242" t="s">
        <v>3072</v>
      </c>
      <c r="D33" s="3243">
        <f>SUM(D3:D32)</f>
        <v>190129.63999999998</v>
      </c>
      <c r="E33" s="3243">
        <f t="shared" ref="E33:Q33" si="3">SUM(E3:E32)</f>
        <v>97395.64</v>
      </c>
      <c r="F33" s="3243">
        <f t="shared" si="3"/>
        <v>95475.32</v>
      </c>
      <c r="G33" s="3243">
        <f t="shared" si="3"/>
        <v>1066.56</v>
      </c>
      <c r="H33" s="3243">
        <f t="shared" si="3"/>
        <v>77.760000000000005</v>
      </c>
      <c r="I33" s="3243">
        <f t="shared" si="3"/>
        <v>0</v>
      </c>
      <c r="J33" s="3243">
        <f t="shared" si="3"/>
        <v>141</v>
      </c>
      <c r="K33" s="3243">
        <f t="shared" si="3"/>
        <v>635</v>
      </c>
      <c r="L33" s="3243">
        <f t="shared" si="3"/>
        <v>92733.999999999985</v>
      </c>
      <c r="M33" s="3243">
        <f t="shared" si="3"/>
        <v>29834.269999999997</v>
      </c>
      <c r="N33" s="3243">
        <f t="shared" si="3"/>
        <v>27013.690000000002</v>
      </c>
      <c r="O33" s="3243">
        <f t="shared" si="3"/>
        <v>27849.040000000005</v>
      </c>
      <c r="P33" s="3243">
        <f t="shared" si="3"/>
        <v>8037</v>
      </c>
      <c r="Q33" s="3243">
        <f t="shared" si="3"/>
        <v>30424.589999999997</v>
      </c>
    </row>
    <row r="34" spans="2:18">
      <c r="B34" s="3241">
        <v>1</v>
      </c>
      <c r="C34" s="3236" t="s">
        <v>3041</v>
      </c>
      <c r="D34" s="3236">
        <f>SUM(E34,L34)</f>
        <v>7899.44</v>
      </c>
      <c r="E34" s="3236">
        <f>SUM(F34:K34)</f>
        <v>5282.69</v>
      </c>
      <c r="F34" s="3236">
        <v>5282.69</v>
      </c>
      <c r="G34" s="3236"/>
      <c r="H34" s="3236"/>
      <c r="I34" s="3236"/>
      <c r="J34" s="3236"/>
      <c r="K34" s="3236"/>
      <c r="L34" s="3236">
        <f t="shared" si="2"/>
        <v>2616.75</v>
      </c>
      <c r="M34" s="3236">
        <v>1209.7</v>
      </c>
      <c r="N34" s="3236"/>
      <c r="O34" s="3236">
        <v>1407.05</v>
      </c>
      <c r="P34" s="3236"/>
      <c r="Q34" s="3236">
        <v>4398.17</v>
      </c>
      <c r="R34" s="3235">
        <v>6</v>
      </c>
    </row>
    <row r="35" spans="2:18">
      <c r="B35" s="3241">
        <v>2</v>
      </c>
      <c r="C35" s="3236" t="s">
        <v>3042</v>
      </c>
      <c r="D35" s="3236">
        <f t="shared" si="0"/>
        <v>6337.7</v>
      </c>
      <c r="E35" s="3236">
        <f t="shared" si="1"/>
        <v>4219.41</v>
      </c>
      <c r="F35" s="3236">
        <v>4219.41</v>
      </c>
      <c r="G35" s="3236"/>
      <c r="H35" s="3236"/>
      <c r="I35" s="3236"/>
      <c r="J35" s="3236"/>
      <c r="K35" s="3236"/>
      <c r="L35" s="3236">
        <f t="shared" si="2"/>
        <v>2118.29</v>
      </c>
      <c r="M35" s="3236">
        <v>963.68</v>
      </c>
      <c r="N35" s="3236"/>
      <c r="O35" s="3236">
        <v>1154.6099999999999</v>
      </c>
      <c r="P35" s="3236"/>
      <c r="Q35" s="3236">
        <v>3515.91</v>
      </c>
      <c r="R35" s="3235">
        <v>6</v>
      </c>
    </row>
    <row r="36" spans="2:18">
      <c r="B36" s="3241">
        <v>3</v>
      </c>
      <c r="C36" s="3236" t="s">
        <v>3043</v>
      </c>
      <c r="D36" s="3236">
        <f t="shared" si="0"/>
        <v>2822.45</v>
      </c>
      <c r="E36" s="3236">
        <f t="shared" si="1"/>
        <v>1720.42</v>
      </c>
      <c r="F36" s="3236">
        <v>1720.42</v>
      </c>
      <c r="G36" s="3236"/>
      <c r="H36" s="3236"/>
      <c r="I36" s="3236"/>
      <c r="J36" s="3236"/>
      <c r="K36" s="3236"/>
      <c r="L36" s="3236">
        <f t="shared" si="2"/>
        <v>1102.03</v>
      </c>
      <c r="M36" s="3236">
        <v>584.25</v>
      </c>
      <c r="N36" s="3236"/>
      <c r="O36" s="3236">
        <v>517.78</v>
      </c>
      <c r="P36" s="3236"/>
      <c r="Q36" s="3236">
        <v>1544.56</v>
      </c>
      <c r="R36" s="3235">
        <v>5</v>
      </c>
    </row>
    <row r="37" spans="2:18">
      <c r="B37" s="3241">
        <v>4</v>
      </c>
      <c r="C37" s="3236" t="s">
        <v>3044</v>
      </c>
      <c r="D37" s="3236">
        <f t="shared" si="0"/>
        <v>3227.05</v>
      </c>
      <c r="E37" s="3236">
        <f t="shared" si="1"/>
        <v>2125.02</v>
      </c>
      <c r="F37" s="3236">
        <v>2125.02</v>
      </c>
      <c r="G37" s="3236"/>
      <c r="H37" s="3236"/>
      <c r="I37" s="3236"/>
      <c r="J37" s="3236"/>
      <c r="K37" s="3236"/>
      <c r="L37" s="3236">
        <f t="shared" si="2"/>
        <v>1102.03</v>
      </c>
      <c r="M37" s="3236">
        <v>584.25</v>
      </c>
      <c r="N37" s="3236"/>
      <c r="O37" s="3236">
        <v>517.78</v>
      </c>
      <c r="P37" s="3236"/>
      <c r="Q37" s="3236">
        <v>1730.58</v>
      </c>
      <c r="R37" s="3235">
        <v>6</v>
      </c>
    </row>
    <row r="38" spans="2:18">
      <c r="B38" s="3241">
        <v>5</v>
      </c>
      <c r="C38" s="3236" t="s">
        <v>3045</v>
      </c>
      <c r="D38" s="3236">
        <f t="shared" si="0"/>
        <v>2174.2800000000002</v>
      </c>
      <c r="E38" s="3236">
        <f t="shared" si="1"/>
        <v>943.12</v>
      </c>
      <c r="F38" s="3236">
        <v>943.12</v>
      </c>
      <c r="G38" s="3236"/>
      <c r="H38" s="3236"/>
      <c r="I38" s="3236"/>
      <c r="J38" s="3236"/>
      <c r="K38" s="3236"/>
      <c r="L38" s="3236">
        <f t="shared" si="2"/>
        <v>1231.1600000000001</v>
      </c>
      <c r="M38" s="3236">
        <v>731.46</v>
      </c>
      <c r="N38" s="3236"/>
      <c r="O38" s="3236">
        <v>499.7</v>
      </c>
      <c r="P38" s="3236"/>
      <c r="Q38" s="3236"/>
      <c r="R38" s="3235">
        <v>4</v>
      </c>
    </row>
    <row r="39" spans="2:18">
      <c r="B39" s="3241">
        <v>6</v>
      </c>
      <c r="C39" s="3236" t="s">
        <v>3046</v>
      </c>
      <c r="D39" s="3236">
        <f t="shared" si="0"/>
        <v>2174.2800000000002</v>
      </c>
      <c r="E39" s="3236">
        <f t="shared" si="1"/>
        <v>943.12</v>
      </c>
      <c r="F39" s="3236">
        <v>943.12</v>
      </c>
      <c r="G39" s="3236"/>
      <c r="H39" s="3236"/>
      <c r="I39" s="3236"/>
      <c r="J39" s="3236"/>
      <c r="K39" s="3236"/>
      <c r="L39" s="3236">
        <f t="shared" si="2"/>
        <v>1231.1600000000001</v>
      </c>
      <c r="M39" s="3236">
        <v>731.46</v>
      </c>
      <c r="N39" s="3236"/>
      <c r="O39" s="3236">
        <v>499.7</v>
      </c>
      <c r="P39" s="3236"/>
      <c r="Q39" s="3236"/>
      <c r="R39" s="3235">
        <v>4</v>
      </c>
    </row>
    <row r="40" spans="2:18">
      <c r="B40" s="3241">
        <v>7</v>
      </c>
      <c r="C40" s="3236" t="s">
        <v>3047</v>
      </c>
      <c r="D40" s="3236">
        <f t="shared" si="0"/>
        <v>6909.13</v>
      </c>
      <c r="E40" s="3236">
        <f t="shared" si="1"/>
        <v>4756.68</v>
      </c>
      <c r="F40" s="3236">
        <v>4756.68</v>
      </c>
      <c r="G40" s="3236"/>
      <c r="H40" s="3236"/>
      <c r="I40" s="3236"/>
      <c r="J40" s="3236"/>
      <c r="K40" s="3236"/>
      <c r="L40" s="3236">
        <f t="shared" si="2"/>
        <v>2152.4499999999998</v>
      </c>
      <c r="M40" s="3236">
        <v>1035.24</v>
      </c>
      <c r="N40" s="3236"/>
      <c r="O40" s="3236">
        <v>1117.21</v>
      </c>
      <c r="P40" s="3236"/>
      <c r="Q40" s="3236">
        <v>3967.98</v>
      </c>
      <c r="R40" s="3235">
        <v>6</v>
      </c>
    </row>
    <row r="41" spans="2:18">
      <c r="B41" s="3241">
        <v>8</v>
      </c>
      <c r="C41" s="3236" t="s">
        <v>3048</v>
      </c>
      <c r="D41" s="3236">
        <f t="shared" si="0"/>
        <v>6890.2000000000007</v>
      </c>
      <c r="E41" s="3236">
        <f t="shared" si="1"/>
        <v>4736.3100000000004</v>
      </c>
      <c r="F41" s="3236">
        <v>4736.3100000000004</v>
      </c>
      <c r="G41" s="3236"/>
      <c r="H41" s="3236"/>
      <c r="I41" s="3236"/>
      <c r="J41" s="3236"/>
      <c r="K41" s="3236"/>
      <c r="L41" s="3236">
        <f t="shared" si="2"/>
        <v>2153.8900000000003</v>
      </c>
      <c r="M41" s="3236">
        <v>1035.24</v>
      </c>
      <c r="N41" s="3236"/>
      <c r="O41" s="3236">
        <v>1118.6500000000001</v>
      </c>
      <c r="P41" s="3236"/>
      <c r="Q41" s="3236">
        <v>3947.16</v>
      </c>
    </row>
    <row r="42" spans="2:18">
      <c r="B42" s="3241">
        <v>9</v>
      </c>
      <c r="C42" s="3236" t="s">
        <v>3049</v>
      </c>
      <c r="D42" s="3236">
        <f t="shared" si="0"/>
        <v>2174.2800000000002</v>
      </c>
      <c r="E42" s="3236">
        <f t="shared" si="1"/>
        <v>943.12</v>
      </c>
      <c r="F42" s="3236">
        <v>943.12</v>
      </c>
      <c r="G42" s="3236"/>
      <c r="H42" s="3236"/>
      <c r="I42" s="3236"/>
      <c r="J42" s="3236"/>
      <c r="K42" s="3236"/>
      <c r="L42" s="3236">
        <f t="shared" si="2"/>
        <v>1231.1600000000001</v>
      </c>
      <c r="M42" s="3236">
        <v>731.46</v>
      </c>
      <c r="N42" s="3236"/>
      <c r="O42" s="3236">
        <v>499.7</v>
      </c>
      <c r="P42" s="3236"/>
      <c r="Q42" s="3236"/>
    </row>
    <row r="43" spans="2:18">
      <c r="B43" s="3241">
        <v>10</v>
      </c>
      <c r="C43" s="3236" t="s">
        <v>3050</v>
      </c>
      <c r="D43" s="3236">
        <f t="shared" si="0"/>
        <v>2174.2800000000002</v>
      </c>
      <c r="E43" s="3236">
        <f t="shared" si="1"/>
        <v>943.12</v>
      </c>
      <c r="F43" s="3236">
        <v>943.12</v>
      </c>
      <c r="G43" s="3236"/>
      <c r="H43" s="3236"/>
      <c r="I43" s="3236"/>
      <c r="J43" s="3236"/>
      <c r="K43" s="3236"/>
      <c r="L43" s="3236">
        <f t="shared" si="2"/>
        <v>1231.1600000000001</v>
      </c>
      <c r="M43" s="3236">
        <v>731.46</v>
      </c>
      <c r="N43" s="3236"/>
      <c r="O43" s="3236">
        <v>499.7</v>
      </c>
      <c r="P43" s="3236"/>
      <c r="Q43" s="3236"/>
    </row>
    <row r="44" spans="2:18">
      <c r="B44" s="3241">
        <v>11</v>
      </c>
      <c r="C44" s="3236" t="s">
        <v>3051</v>
      </c>
      <c r="D44" s="3236">
        <f t="shared" si="0"/>
        <v>2178.12</v>
      </c>
      <c r="E44" s="3236">
        <f t="shared" si="1"/>
        <v>943.12</v>
      </c>
      <c r="F44" s="3236">
        <v>943.12</v>
      </c>
      <c r="G44" s="3236"/>
      <c r="H44" s="3236"/>
      <c r="I44" s="3236"/>
      <c r="J44" s="3236"/>
      <c r="K44" s="3236"/>
      <c r="L44" s="3236">
        <f t="shared" si="2"/>
        <v>1235</v>
      </c>
      <c r="M44" s="3236">
        <v>732.76</v>
      </c>
      <c r="N44" s="3236"/>
      <c r="O44" s="3236">
        <v>502.24</v>
      </c>
      <c r="P44" s="3236"/>
      <c r="Q44" s="3236"/>
    </row>
    <row r="45" spans="2:18">
      <c r="B45" s="3241">
        <v>12</v>
      </c>
      <c r="C45" s="3236" t="s">
        <v>3052</v>
      </c>
      <c r="D45" s="3236">
        <f t="shared" si="0"/>
        <v>2174.2800000000002</v>
      </c>
      <c r="E45" s="3236">
        <f t="shared" si="1"/>
        <v>943.12</v>
      </c>
      <c r="F45" s="3236">
        <v>943.12</v>
      </c>
      <c r="G45" s="3236"/>
      <c r="H45" s="3236"/>
      <c r="I45" s="3236"/>
      <c r="J45" s="3236"/>
      <c r="K45" s="3236"/>
      <c r="L45" s="3236">
        <f t="shared" si="2"/>
        <v>1231.1600000000001</v>
      </c>
      <c r="M45" s="3236">
        <v>731.46</v>
      </c>
      <c r="N45" s="3236"/>
      <c r="O45" s="3236">
        <v>499.7</v>
      </c>
      <c r="P45" s="3236"/>
      <c r="Q45" s="3236"/>
    </row>
    <row r="46" spans="2:18">
      <c r="B46" s="3241">
        <v>13</v>
      </c>
      <c r="C46" s="3236" t="s">
        <v>3053</v>
      </c>
      <c r="D46" s="3236">
        <f t="shared" si="0"/>
        <v>6933.77</v>
      </c>
      <c r="E46" s="3236">
        <f t="shared" si="1"/>
        <v>4736.3100000000004</v>
      </c>
      <c r="F46" s="3236">
        <v>4736.3100000000004</v>
      </c>
      <c r="G46" s="3236"/>
      <c r="H46" s="3236"/>
      <c r="I46" s="3236"/>
      <c r="J46" s="3236"/>
      <c r="K46" s="3236"/>
      <c r="L46" s="3236">
        <f t="shared" si="2"/>
        <v>2197.46</v>
      </c>
      <c r="M46" s="3236">
        <v>1164.5</v>
      </c>
      <c r="N46" s="3236"/>
      <c r="O46" s="3236">
        <v>1032.96</v>
      </c>
      <c r="P46" s="3236"/>
      <c r="Q46" s="3236">
        <v>3947.16</v>
      </c>
    </row>
    <row r="47" spans="2:18">
      <c r="B47" s="3241">
        <v>14</v>
      </c>
      <c r="C47" s="3236" t="s">
        <v>3054</v>
      </c>
      <c r="D47" s="3236">
        <f t="shared" si="0"/>
        <v>2174.2800000000002</v>
      </c>
      <c r="E47" s="3236">
        <f t="shared" si="1"/>
        <v>943.12</v>
      </c>
      <c r="F47" s="3236">
        <v>943.12</v>
      </c>
      <c r="G47" s="3236"/>
      <c r="H47" s="3236"/>
      <c r="I47" s="3236"/>
      <c r="J47" s="3236"/>
      <c r="K47" s="3236"/>
      <c r="L47" s="3236">
        <f t="shared" si="2"/>
        <v>1231.1600000000001</v>
      </c>
      <c r="M47" s="3236">
        <v>731.46</v>
      </c>
      <c r="N47" s="3236"/>
      <c r="O47" s="3236">
        <v>499.7</v>
      </c>
      <c r="P47" s="3236"/>
      <c r="Q47" s="3236"/>
    </row>
    <row r="48" spans="2:18">
      <c r="B48" s="3241">
        <v>15</v>
      </c>
      <c r="C48" s="3236" t="s">
        <v>3065</v>
      </c>
      <c r="D48" s="3236">
        <f t="shared" si="0"/>
        <v>1851.68</v>
      </c>
      <c r="E48" s="3236">
        <f t="shared" si="1"/>
        <v>1851.68</v>
      </c>
      <c r="F48" s="3236"/>
      <c r="G48" s="3236">
        <v>1218.44</v>
      </c>
      <c r="H48" s="3236">
        <f>280.24+120+8</f>
        <v>408.24</v>
      </c>
      <c r="I48" s="3236">
        <v>150</v>
      </c>
      <c r="J48" s="3236"/>
      <c r="K48" s="3236">
        <v>75</v>
      </c>
      <c r="L48" s="3236">
        <f t="shared" si="2"/>
        <v>0</v>
      </c>
      <c r="M48" s="3236"/>
      <c r="N48" s="3236"/>
      <c r="O48" s="3236"/>
      <c r="P48" s="3236"/>
      <c r="Q48" s="3236"/>
    </row>
    <row r="49" spans="2:17">
      <c r="B49" s="3241">
        <v>16</v>
      </c>
      <c r="C49" s="3236" t="s">
        <v>3067</v>
      </c>
      <c r="D49" s="3236">
        <f t="shared" si="0"/>
        <v>199</v>
      </c>
      <c r="E49" s="3236">
        <f t="shared" si="1"/>
        <v>199</v>
      </c>
      <c r="F49" s="3236"/>
      <c r="G49" s="3236"/>
      <c r="H49" s="3236"/>
      <c r="I49" s="3236"/>
      <c r="J49" s="3236"/>
      <c r="K49" s="3236">
        <v>199</v>
      </c>
      <c r="L49" s="3236">
        <f t="shared" si="2"/>
        <v>0</v>
      </c>
      <c r="M49" s="3236"/>
      <c r="N49" s="3236"/>
      <c r="O49" s="3236"/>
      <c r="P49" s="3236"/>
      <c r="Q49" s="3236"/>
    </row>
    <row r="50" spans="2:17">
      <c r="B50" s="3241">
        <v>17</v>
      </c>
      <c r="C50" s="3236" t="s">
        <v>3068</v>
      </c>
      <c r="D50" s="3236">
        <f t="shared" si="0"/>
        <v>13485.14</v>
      </c>
      <c r="E50" s="3236">
        <f t="shared" si="1"/>
        <v>0</v>
      </c>
      <c r="F50" s="3236"/>
      <c r="G50" s="3236"/>
      <c r="H50" s="3236"/>
      <c r="I50" s="3236"/>
      <c r="J50" s="3236"/>
      <c r="K50" s="3236"/>
      <c r="L50" s="3236">
        <f t="shared" si="2"/>
        <v>13485.14</v>
      </c>
      <c r="M50" s="3236"/>
      <c r="N50" s="3236">
        <f>13485.14-P50</f>
        <v>9639.14</v>
      </c>
      <c r="O50" s="3236"/>
      <c r="P50" s="3236">
        <v>3846</v>
      </c>
      <c r="Q50" s="3236"/>
    </row>
    <row r="51" spans="2:17">
      <c r="B51" s="3241">
        <v>18</v>
      </c>
      <c r="C51" s="3238" t="s">
        <v>3064</v>
      </c>
      <c r="D51" s="3236">
        <f t="shared" si="0"/>
        <v>50</v>
      </c>
      <c r="E51" s="3236">
        <f t="shared" si="1"/>
        <v>50</v>
      </c>
      <c r="F51" s="3236"/>
      <c r="G51" s="3236"/>
      <c r="H51" s="3236"/>
      <c r="I51" s="3236"/>
      <c r="J51" s="3236">
        <v>50</v>
      </c>
      <c r="K51" s="3236"/>
      <c r="L51" s="3236">
        <f t="shared" si="2"/>
        <v>0</v>
      </c>
      <c r="M51" s="3236"/>
      <c r="N51" s="3236"/>
      <c r="O51" s="3236"/>
      <c r="P51" s="3236"/>
      <c r="Q51" s="3236"/>
    </row>
    <row r="52" spans="2:17" ht="14.25" customHeight="1">
      <c r="B52" s="3241"/>
      <c r="C52" s="3242" t="s">
        <v>3071</v>
      </c>
      <c r="D52" s="3243">
        <f>SUM(D34:D51)</f>
        <v>71829.359999999986</v>
      </c>
      <c r="E52" s="3243">
        <f t="shared" ref="E52:Q52" si="4">SUM(E34:E51)</f>
        <v>36279.360000000001</v>
      </c>
      <c r="F52" s="3243">
        <f t="shared" si="4"/>
        <v>34178.68</v>
      </c>
      <c r="G52" s="3243">
        <f t="shared" si="4"/>
        <v>1218.44</v>
      </c>
      <c r="H52" s="3243">
        <f t="shared" si="4"/>
        <v>408.24</v>
      </c>
      <c r="I52" s="3243">
        <f t="shared" si="4"/>
        <v>150</v>
      </c>
      <c r="J52" s="3243">
        <f t="shared" si="4"/>
        <v>50</v>
      </c>
      <c r="K52" s="3243">
        <f t="shared" si="4"/>
        <v>274</v>
      </c>
      <c r="L52" s="3243">
        <f t="shared" si="4"/>
        <v>35550</v>
      </c>
      <c r="M52" s="3243">
        <f t="shared" si="4"/>
        <v>11698.380000000001</v>
      </c>
      <c r="N52" s="3243">
        <f t="shared" si="4"/>
        <v>9639.14</v>
      </c>
      <c r="O52" s="3243">
        <f t="shared" si="4"/>
        <v>10366.48</v>
      </c>
      <c r="P52" s="3243">
        <f t="shared" si="4"/>
        <v>3846</v>
      </c>
      <c r="Q52" s="3243">
        <f t="shared" si="4"/>
        <v>23051.52</v>
      </c>
    </row>
    <row r="53" spans="2:17" s="3239" customFormat="1" ht="14.25" customHeight="1">
      <c r="B53" s="3244"/>
      <c r="C53" s="3245" t="s">
        <v>3070</v>
      </c>
      <c r="D53" s="3246">
        <f>SUM(D52,D33)</f>
        <v>261958.99999999997</v>
      </c>
      <c r="E53" s="3246">
        <f t="shared" ref="E53:Q53" si="5">SUM(E52,E33)</f>
        <v>133675</v>
      </c>
      <c r="F53" s="3246">
        <f t="shared" si="5"/>
        <v>129654</v>
      </c>
      <c r="G53" s="3246">
        <f t="shared" si="5"/>
        <v>2285</v>
      </c>
      <c r="H53" s="3246">
        <f t="shared" si="5"/>
        <v>486</v>
      </c>
      <c r="I53" s="3246">
        <f t="shared" si="5"/>
        <v>150</v>
      </c>
      <c r="J53" s="3246">
        <f t="shared" si="5"/>
        <v>191</v>
      </c>
      <c r="K53" s="3246">
        <f t="shared" si="5"/>
        <v>909</v>
      </c>
      <c r="L53" s="3246">
        <f t="shared" si="5"/>
        <v>128283.99999999999</v>
      </c>
      <c r="M53" s="3246">
        <f t="shared" si="5"/>
        <v>41532.649999999994</v>
      </c>
      <c r="N53" s="3246">
        <f t="shared" si="5"/>
        <v>36652.83</v>
      </c>
      <c r="O53" s="3246">
        <f t="shared" si="5"/>
        <v>38215.520000000004</v>
      </c>
      <c r="P53" s="3246">
        <f t="shared" si="5"/>
        <v>11883</v>
      </c>
      <c r="Q53" s="3246">
        <f t="shared" si="5"/>
        <v>53476.11</v>
      </c>
    </row>
    <row r="54" spans="2:17">
      <c r="D54" s="3235">
        <v>261959</v>
      </c>
      <c r="Q54" s="3235">
        <f>Q53/F53</f>
        <v>0.41245245036790229</v>
      </c>
    </row>
    <row r="55" spans="2:17">
      <c r="D55" s="323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52" activePane="bottomRight" state="frozen"/>
      <selection pane="topRight" activeCell="E1" sqref="E1"/>
      <selection pane="bottomLeft" activeCell="A12" sqref="A12"/>
      <selection pane="bottomRight" activeCell="G4" sqref="G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163</v>
      </c>
      <c r="AZ2" s="2357" t="s">
        <v>2332</v>
      </c>
      <c r="BA2" s="2358"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64892.61</v>
      </c>
      <c r="B3" s="22">
        <f>IF(C3="否",G5-AT5,G5)</f>
        <v>190129.64</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59"/>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164</v>
      </c>
      <c r="B5" s="988"/>
      <c r="C5" s="988"/>
      <c r="D5" s="995"/>
      <c r="E5" s="27" t="s">
        <v>1</v>
      </c>
      <c r="F5" s="27">
        <f>SUM(F13:F572)</f>
        <v>0</v>
      </c>
      <c r="G5" s="27">
        <f>SUM(G13:G572)</f>
        <v>190129.64</v>
      </c>
      <c r="H5" s="27">
        <f t="shared" ref="H5:AT5" si="0">SUM(H13:H641)</f>
        <v>153389.84000000003</v>
      </c>
      <c r="I5" s="27">
        <f t="shared" si="0"/>
        <v>95475.32</v>
      </c>
      <c r="J5" s="27">
        <f t="shared" si="0"/>
        <v>0</v>
      </c>
      <c r="K5" s="27">
        <f t="shared" si="0"/>
        <v>1066.56</v>
      </c>
      <c r="L5" s="27">
        <f t="shared" si="0"/>
        <v>0</v>
      </c>
      <c r="M5" s="27">
        <f t="shared" si="0"/>
        <v>29834.269999999997</v>
      </c>
      <c r="N5" s="27">
        <f t="shared" si="0"/>
        <v>0</v>
      </c>
      <c r="O5" s="27">
        <f t="shared" si="0"/>
        <v>27013.690000000002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28561.800000000003</v>
      </c>
      <c r="AD5" s="27">
        <f t="shared" si="0"/>
        <v>77.760000000000005</v>
      </c>
      <c r="AE5" s="27">
        <f t="shared" si="0"/>
        <v>0</v>
      </c>
      <c r="AF5" s="27">
        <f t="shared" si="0"/>
        <v>0</v>
      </c>
      <c r="AG5" s="27">
        <f t="shared" si="0"/>
        <v>0</v>
      </c>
      <c r="AH5" s="27">
        <f t="shared" si="0"/>
        <v>0</v>
      </c>
      <c r="AI5" s="27">
        <f t="shared" si="0"/>
        <v>0</v>
      </c>
      <c r="AJ5" s="27">
        <f t="shared" si="0"/>
        <v>0</v>
      </c>
      <c r="AK5" s="27">
        <f t="shared" si="0"/>
        <v>0</v>
      </c>
      <c r="AL5" s="27">
        <f t="shared" si="0"/>
        <v>635</v>
      </c>
      <c r="AM5" s="27">
        <f t="shared" si="0"/>
        <v>0</v>
      </c>
      <c r="AN5" s="27">
        <f t="shared" si="0"/>
        <v>27849.040000000005</v>
      </c>
      <c r="AO5" s="27">
        <f t="shared" si="0"/>
        <v>0</v>
      </c>
      <c r="AP5" s="27">
        <f t="shared" si="0"/>
        <v>0</v>
      </c>
      <c r="AQ5" s="27">
        <f t="shared" si="0"/>
        <v>0</v>
      </c>
      <c r="AR5" s="27">
        <f t="shared" si="0"/>
        <v>0</v>
      </c>
      <c r="AS5" s="27">
        <f t="shared" si="0"/>
        <v>0</v>
      </c>
      <c r="AT5" s="27">
        <f t="shared" si="0"/>
        <v>8178</v>
      </c>
      <c r="AU5" s="987"/>
      <c r="AV5" s="26" t="s">
        <v>164</v>
      </c>
      <c r="AW5" s="988"/>
      <c r="AX5" s="988"/>
      <c r="AY5" s="28" t="s">
        <v>3</v>
      </c>
      <c r="AZ5" s="29">
        <f t="shared" ref="AZ5:BT5" si="1">SUM(AZ13:AZ641)</f>
        <v>181951.64</v>
      </c>
      <c r="BA5" s="29">
        <f t="shared" si="1"/>
        <v>153389.84000000003</v>
      </c>
      <c r="BB5" s="29">
        <f t="shared" si="1"/>
        <v>95475.32</v>
      </c>
      <c r="BC5" s="29">
        <f t="shared" si="1"/>
        <v>1066.56</v>
      </c>
      <c r="BD5" s="29">
        <f t="shared" si="1"/>
        <v>29834.269999999997</v>
      </c>
      <c r="BE5" s="29">
        <f t="shared" si="1"/>
        <v>27013.690000000002</v>
      </c>
      <c r="BF5" s="29">
        <f t="shared" si="1"/>
        <v>0</v>
      </c>
      <c r="BG5" s="29">
        <f t="shared" si="1"/>
        <v>0</v>
      </c>
      <c r="BH5" s="29">
        <f t="shared" si="1"/>
        <v>0</v>
      </c>
      <c r="BI5" s="29">
        <f t="shared" si="1"/>
        <v>0</v>
      </c>
      <c r="BJ5" s="29">
        <f t="shared" si="1"/>
        <v>0</v>
      </c>
      <c r="BK5" s="29">
        <f t="shared" si="1"/>
        <v>0</v>
      </c>
      <c r="BL5" s="29">
        <f t="shared" si="1"/>
        <v>28561.800000000003</v>
      </c>
      <c r="BM5" s="29">
        <f t="shared" si="1"/>
        <v>77.760000000000005</v>
      </c>
      <c r="BN5" s="29">
        <f t="shared" si="1"/>
        <v>0</v>
      </c>
      <c r="BO5" s="29">
        <f t="shared" si="1"/>
        <v>0</v>
      </c>
      <c r="BP5" s="29">
        <f t="shared" si="1"/>
        <v>0</v>
      </c>
      <c r="BQ5" s="29">
        <f t="shared" si="1"/>
        <v>635</v>
      </c>
      <c r="BR5" s="29">
        <f t="shared" si="1"/>
        <v>27849.040000000005</v>
      </c>
      <c r="BS5" s="29">
        <f t="shared" si="1"/>
        <v>0</v>
      </c>
      <c r="BT5" s="30">
        <f t="shared" si="1"/>
        <v>0</v>
      </c>
    </row>
    <row r="6" spans="1:72" s="37" customFormat="1" ht="12.75">
      <c r="A6" s="26" t="s">
        <v>165</v>
      </c>
      <c r="B6" s="31"/>
      <c r="C6" s="31"/>
      <c r="D6" s="32"/>
      <c r="E6" s="27">
        <f>H6+AC6+AT6</f>
        <v>64892.61</v>
      </c>
      <c r="F6" s="27" t="s">
        <v>1</v>
      </c>
      <c r="G6" s="27" t="s">
        <v>2</v>
      </c>
      <c r="H6" s="33">
        <f>SUMIF(I$12:AB$12,"总值",I6:AB6)</f>
        <v>52353.05</v>
      </c>
      <c r="I6" s="27">
        <f t="shared" ref="I6:AB6" si="2">ROUND($A$3*I5/$B$3,2)</f>
        <v>32586.41</v>
      </c>
      <c r="J6" s="27">
        <f t="shared" si="2"/>
        <v>0</v>
      </c>
      <c r="K6" s="27">
        <f t="shared" si="2"/>
        <v>364.02</v>
      </c>
      <c r="L6" s="27">
        <f t="shared" si="2"/>
        <v>0</v>
      </c>
      <c r="M6" s="27">
        <f t="shared" si="2"/>
        <v>10182.65</v>
      </c>
      <c r="N6" s="27">
        <f t="shared" si="2"/>
        <v>0</v>
      </c>
      <c r="O6" s="27">
        <f t="shared" si="2"/>
        <v>9219.9699999999993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9748.35</v>
      </c>
      <c r="AD6" s="27">
        <f t="shared" ref="AD6:AS6" si="3">ROUND($A$3*AD5/$B$3,2)</f>
        <v>26.54</v>
      </c>
      <c r="AE6" s="27">
        <f t="shared" si="3"/>
        <v>0</v>
      </c>
      <c r="AF6" s="27">
        <f t="shared" si="3"/>
        <v>0</v>
      </c>
      <c r="AG6" s="27">
        <f t="shared" si="3"/>
        <v>0</v>
      </c>
      <c r="AH6" s="27">
        <f t="shared" si="3"/>
        <v>0</v>
      </c>
      <c r="AI6" s="27">
        <f t="shared" si="3"/>
        <v>0</v>
      </c>
      <c r="AJ6" s="27">
        <f t="shared" si="3"/>
        <v>0</v>
      </c>
      <c r="AK6" s="27">
        <f t="shared" si="3"/>
        <v>0</v>
      </c>
      <c r="AL6" s="27">
        <f t="shared" si="3"/>
        <v>216.73</v>
      </c>
      <c r="AM6" s="27">
        <f t="shared" si="3"/>
        <v>0</v>
      </c>
      <c r="AN6" s="27">
        <f t="shared" si="3"/>
        <v>9505.08</v>
      </c>
      <c r="AO6" s="27">
        <f t="shared" si="3"/>
        <v>0</v>
      </c>
      <c r="AP6" s="27">
        <f t="shared" si="3"/>
        <v>0</v>
      </c>
      <c r="AQ6" s="27">
        <f t="shared" si="3"/>
        <v>0</v>
      </c>
      <c r="AR6" s="27">
        <f t="shared" si="3"/>
        <v>0</v>
      </c>
      <c r="AS6" s="27">
        <f t="shared" si="3"/>
        <v>0</v>
      </c>
      <c r="AT6" s="33">
        <f>IF(C3="是",ROUND($A$3*AT5/$B$3,2),0)</f>
        <v>2791.21</v>
      </c>
      <c r="AU6" s="34"/>
      <c r="AV6" s="26" t="s">
        <v>165</v>
      </c>
      <c r="AW6" s="31"/>
      <c r="AX6" s="31"/>
      <c r="AY6" s="35">
        <f>IF(AY3&gt;0,AY3,ROUND($A$3*AZ5/$B$3,2))</f>
        <v>62101.4</v>
      </c>
      <c r="AZ6" s="27" t="s">
        <v>3</v>
      </c>
      <c r="BA6" s="27">
        <f>ROUND($AY$6*BA5/$AZ$5,2)</f>
        <v>52353.05</v>
      </c>
      <c r="BB6" s="27">
        <f>ROUND($AY$6*BB5/$AZ$5,2)</f>
        <v>32586.41</v>
      </c>
      <c r="BC6" s="27">
        <f t="shared" ref="BC6:BH6" si="4">ROUND($AY$6*BC5/$AZ$5,2)</f>
        <v>364.02</v>
      </c>
      <c r="BD6" s="27">
        <f t="shared" si="4"/>
        <v>10182.65</v>
      </c>
      <c r="BE6" s="27">
        <f t="shared" si="4"/>
        <v>9219.9699999999993</v>
      </c>
      <c r="BF6" s="27">
        <f t="shared" si="4"/>
        <v>0</v>
      </c>
      <c r="BG6" s="27">
        <f t="shared" si="4"/>
        <v>0</v>
      </c>
      <c r="BH6" s="27">
        <f t="shared" si="4"/>
        <v>0</v>
      </c>
      <c r="BI6" s="27">
        <f t="shared" ref="BI6:BT6" si="5">ROUND($AY$6*BI5/$AZ$5,2)</f>
        <v>0</v>
      </c>
      <c r="BJ6" s="27">
        <f t="shared" si="5"/>
        <v>0</v>
      </c>
      <c r="BK6" s="27">
        <f t="shared" si="5"/>
        <v>0</v>
      </c>
      <c r="BL6" s="27">
        <f t="shared" si="5"/>
        <v>9748.35</v>
      </c>
      <c r="BM6" s="27">
        <f t="shared" si="5"/>
        <v>26.54</v>
      </c>
      <c r="BN6" s="27">
        <f t="shared" si="5"/>
        <v>0</v>
      </c>
      <c r="BO6" s="27">
        <f t="shared" si="5"/>
        <v>0</v>
      </c>
      <c r="BP6" s="27">
        <f t="shared" si="5"/>
        <v>0</v>
      </c>
      <c r="BQ6" s="27">
        <f t="shared" si="5"/>
        <v>216.73</v>
      </c>
      <c r="BR6" s="27">
        <f t="shared" si="5"/>
        <v>9505.08</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173</v>
      </c>
      <c r="AV7" s="41" t="s">
        <v>174</v>
      </c>
      <c r="AW7" s="42" t="s">
        <v>175</v>
      </c>
      <c r="AX7" s="41" t="s">
        <v>176</v>
      </c>
      <c r="AY7" s="988"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1000"/>
      <c r="K8" s="1000"/>
      <c r="L8" s="1000"/>
      <c r="M8" s="1000"/>
      <c r="N8" s="1000"/>
      <c r="O8" s="1000"/>
      <c r="P8" s="1000"/>
      <c r="Q8" s="1000"/>
      <c r="R8" s="1000"/>
      <c r="S8" s="1000"/>
      <c r="T8" s="1000"/>
      <c r="U8" s="1000"/>
      <c r="V8" s="49"/>
      <c r="W8" s="1000"/>
      <c r="X8" s="1000"/>
      <c r="Y8" s="1000"/>
      <c r="Z8" s="1000"/>
      <c r="AA8" s="49"/>
      <c r="AB8" s="50"/>
      <c r="AC8" s="51" t="s">
        <v>180</v>
      </c>
      <c r="AD8" s="52"/>
      <c r="AE8" s="43"/>
      <c r="AF8" s="1000"/>
      <c r="AG8" s="1000"/>
      <c r="AH8" s="1000"/>
      <c r="AI8" s="1000"/>
      <c r="AJ8" s="1000"/>
      <c r="AK8" s="1000"/>
      <c r="AL8" s="1000"/>
      <c r="AM8" s="1000"/>
      <c r="AN8" s="1000"/>
      <c r="AO8" s="1000"/>
      <c r="AP8" s="1000"/>
      <c r="AQ8" s="1000"/>
      <c r="AR8" s="1000"/>
      <c r="AS8" s="2294"/>
      <c r="AT8" s="2325" t="s">
        <v>851</v>
      </c>
      <c r="AU8" s="45" t="s">
        <v>181</v>
      </c>
      <c r="AV8" s="55"/>
      <c r="AW8" s="1002"/>
      <c r="AX8" s="55"/>
      <c r="AY8" s="42" t="s">
        <v>182</v>
      </c>
      <c r="AZ8" s="999" t="s">
        <v>183</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184</v>
      </c>
      <c r="I9" s="3038" t="s">
        <v>3002</v>
      </c>
      <c r="J9" s="51"/>
      <c r="K9" s="3038" t="s">
        <v>3002</v>
      </c>
      <c r="L9" s="51"/>
      <c r="M9" s="3038" t="s">
        <v>3003</v>
      </c>
      <c r="N9" s="51"/>
      <c r="O9" s="59" t="s">
        <v>3003</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6" t="s">
        <v>187</v>
      </c>
      <c r="AQ9" s="1188"/>
      <c r="AR9" s="1186" t="s">
        <v>188</v>
      </c>
      <c r="AS9" s="2326"/>
      <c r="AT9" s="45"/>
      <c r="AU9" s="45" t="s">
        <v>190</v>
      </c>
      <c r="AV9" s="55"/>
      <c r="AW9" s="1002"/>
      <c r="AX9" s="55"/>
      <c r="AY9" s="62"/>
      <c r="AZ9" s="62" t="s">
        <v>191</v>
      </c>
      <c r="BA9" s="63" t="s">
        <v>192</v>
      </c>
      <c r="BB9" s="64"/>
      <c r="BC9" s="994"/>
      <c r="BD9" s="994"/>
      <c r="BE9" s="994"/>
      <c r="BF9" s="994"/>
      <c r="BG9" s="994"/>
      <c r="BH9" s="994"/>
      <c r="BI9" s="994"/>
      <c r="BJ9" s="994"/>
      <c r="BK9" s="65"/>
      <c r="BL9" s="26" t="s">
        <v>193</v>
      </c>
      <c r="BM9" s="1000"/>
      <c r="BN9" s="48"/>
      <c r="BO9" s="1000"/>
      <c r="BP9" s="1000"/>
      <c r="BQ9" s="1000"/>
      <c r="BR9" s="1000"/>
      <c r="BS9" s="1000"/>
      <c r="BT9" s="56"/>
    </row>
    <row r="10" spans="1:72" s="57" customFormat="1" ht="12.75">
      <c r="A10" s="45"/>
      <c r="B10" s="45"/>
      <c r="C10" s="45"/>
      <c r="D10" s="45"/>
      <c r="E10" s="45"/>
      <c r="F10" s="45"/>
      <c r="G10" s="55"/>
      <c r="H10" s="62"/>
      <c r="I10" s="3038" t="s">
        <v>919</v>
      </c>
      <c r="J10" s="51"/>
      <c r="K10" s="3040" t="s">
        <v>2988</v>
      </c>
      <c r="L10" s="51"/>
      <c r="M10" s="3040" t="s">
        <v>3004</v>
      </c>
      <c r="N10" s="51"/>
      <c r="O10" s="66" t="s">
        <v>3076</v>
      </c>
      <c r="P10" s="51"/>
      <c r="Q10" s="66"/>
      <c r="R10" s="51"/>
      <c r="S10" s="66"/>
      <c r="T10" s="51"/>
      <c r="U10" s="66"/>
      <c r="V10" s="51"/>
      <c r="W10" s="66"/>
      <c r="X10" s="51"/>
      <c r="Y10" s="66"/>
      <c r="Z10" s="51"/>
      <c r="AA10" s="66"/>
      <c r="AB10" s="51"/>
      <c r="AC10" s="55"/>
      <c r="AD10" s="2311" t="s">
        <v>2316</v>
      </c>
      <c r="AE10" s="2333"/>
      <c r="AF10" s="2311" t="s">
        <v>2316</v>
      </c>
      <c r="AG10" s="2333"/>
      <c r="AH10" s="2311" t="s">
        <v>2317</v>
      </c>
      <c r="AI10" s="2333"/>
      <c r="AJ10" s="26" t="s">
        <v>2330</v>
      </c>
      <c r="AK10" s="2330"/>
      <c r="AL10" s="2311" t="s">
        <v>2318</v>
      </c>
      <c r="AM10" s="2312"/>
      <c r="AN10" s="26" t="s">
        <v>194</v>
      </c>
      <c r="AO10" s="61"/>
      <c r="AP10" s="1186" t="s">
        <v>195</v>
      </c>
      <c r="AQ10" s="1188"/>
      <c r="AR10" s="1186" t="s">
        <v>195</v>
      </c>
      <c r="AS10" s="1188"/>
      <c r="AT10" s="45"/>
      <c r="AU10" s="45"/>
      <c r="AV10" s="55"/>
      <c r="AW10" s="1002"/>
      <c r="AX10" s="55"/>
      <c r="AY10" s="62"/>
      <c r="AZ10" s="62"/>
      <c r="BA10" s="67" t="s">
        <v>189</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189</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39" t="s">
        <v>3073</v>
      </c>
      <c r="J11" s="71"/>
      <c r="K11" s="3039" t="s">
        <v>3074</v>
      </c>
      <c r="L11" s="71"/>
      <c r="M11" s="70" t="s">
        <v>3075</v>
      </c>
      <c r="N11" s="71"/>
      <c r="O11" s="70" t="s">
        <v>3076</v>
      </c>
      <c r="P11" s="71"/>
      <c r="Q11" s="70"/>
      <c r="R11" s="71"/>
      <c r="S11" s="70"/>
      <c r="T11" s="71"/>
      <c r="U11" s="70"/>
      <c r="V11" s="71"/>
      <c r="W11" s="70"/>
      <c r="X11" s="71"/>
      <c r="Y11" s="70"/>
      <c r="Z11" s="71"/>
      <c r="AA11" s="70"/>
      <c r="AB11" s="71"/>
      <c r="AC11" s="55"/>
      <c r="AD11" s="2331" t="s">
        <v>2329</v>
      </c>
      <c r="AE11" s="1001"/>
      <c r="AF11" s="2331" t="s">
        <v>2329</v>
      </c>
      <c r="AG11" s="1001"/>
      <c r="AH11" s="2331" t="s">
        <v>2328</v>
      </c>
      <c r="AI11" s="2332"/>
      <c r="AJ11" s="2331" t="s">
        <v>2328</v>
      </c>
      <c r="AK11" s="2330"/>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仓储</v>
      </c>
      <c r="BE11" s="50" t="str">
        <f>O10</f>
        <v>车库</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7" t="s">
        <v>197</v>
      </c>
      <c r="W12" s="17" t="s">
        <v>196</v>
      </c>
      <c r="X12" s="17" t="s">
        <v>197</v>
      </c>
      <c r="Y12" s="17" t="s">
        <v>196</v>
      </c>
      <c r="Z12" s="17" t="s">
        <v>197</v>
      </c>
      <c r="AA12" s="17" t="s">
        <v>196</v>
      </c>
      <c r="AB12" s="17" t="s">
        <v>197</v>
      </c>
      <c r="AC12" s="75"/>
      <c r="AD12" s="995" t="s">
        <v>196</v>
      </c>
      <c r="AE12" s="17" t="s">
        <v>197</v>
      </c>
      <c r="AF12" s="17" t="s">
        <v>196</v>
      </c>
      <c r="AG12" s="17" t="s">
        <v>197</v>
      </c>
      <c r="AH12" s="17" t="s">
        <v>196</v>
      </c>
      <c r="AI12" s="17" t="s">
        <v>197</v>
      </c>
      <c r="AJ12" s="17" t="s">
        <v>196</v>
      </c>
      <c r="AK12" s="17" t="s">
        <v>197</v>
      </c>
      <c r="AL12" s="17" t="s">
        <v>196</v>
      </c>
      <c r="AM12" s="17" t="s">
        <v>197</v>
      </c>
      <c r="AN12" s="17" t="s">
        <v>196</v>
      </c>
      <c r="AO12" s="17" t="s">
        <v>197</v>
      </c>
      <c r="AP12" s="1185" t="s">
        <v>196</v>
      </c>
      <c r="AQ12" s="1185" t="s">
        <v>197</v>
      </c>
      <c r="AR12" s="1191" t="s">
        <v>196</v>
      </c>
      <c r="AS12" s="1190" t="s">
        <v>197</v>
      </c>
      <c r="AT12" s="76"/>
      <c r="AU12" s="72"/>
      <c r="AV12" s="77"/>
      <c r="AW12" s="42"/>
      <c r="AX12" s="77"/>
      <c r="AY12" s="78"/>
      <c r="AZ12" s="62"/>
      <c r="BA12" s="67"/>
      <c r="BB12" s="53" t="str">
        <f>I11</f>
        <v>平层住宅</v>
      </c>
      <c r="BC12" s="79" t="str">
        <f>K11</f>
        <v>独立商业</v>
      </c>
      <c r="BD12" s="79" t="str">
        <f>M11</f>
        <v>戊类库房</v>
      </c>
      <c r="BE12" s="50" t="str">
        <f>O11</f>
        <v>车库</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5"/>
      <c r="B13" s="3035"/>
      <c r="C13" s="3035" t="str">
        <f>面积表!C9</f>
        <v>1-1#住宅楼</v>
      </c>
      <c r="D13" s="3036" t="s">
        <v>1675</v>
      </c>
      <c r="E13" s="27">
        <f t="shared" ref="E13:E20" si="6">IF($C$3="是",ROUND($A$3*G13/$B$3,2),ROUND($A$3*(G13-AT13)/$B$3,2))</f>
        <v>2714.91</v>
      </c>
      <c r="F13" s="81"/>
      <c r="G13" s="82">
        <f t="shared" ref="G13:G20" si="7">H13+AC13+AT13</f>
        <v>7954.44</v>
      </c>
      <c r="H13" s="33">
        <f t="shared" ref="H13:H20" si="8">SUMIF(I$12:AB$12,"总值",I13:AB13)</f>
        <v>6514.69</v>
      </c>
      <c r="I13" s="3037">
        <f>面积表!F9</f>
        <v>5304.99</v>
      </c>
      <c r="J13" s="3037"/>
      <c r="K13" s="3037"/>
      <c r="L13" s="3037"/>
      <c r="M13" s="3037">
        <f>面积表!M9</f>
        <v>1209.7</v>
      </c>
      <c r="N13" s="83"/>
      <c r="O13" s="83">
        <f>面积表!N9</f>
        <v>0</v>
      </c>
      <c r="P13" s="83"/>
      <c r="Q13" s="83"/>
      <c r="R13" s="83"/>
      <c r="S13" s="83"/>
      <c r="T13" s="83"/>
      <c r="U13" s="83"/>
      <c r="V13" s="83"/>
      <c r="W13" s="83"/>
      <c r="X13" s="83"/>
      <c r="Y13" s="83"/>
      <c r="Z13" s="83"/>
      <c r="AA13" s="83"/>
      <c r="AB13" s="83"/>
      <c r="AC13" s="27">
        <f t="shared" ref="AC13:AC20" si="9">SUMIF(AD$12:AS$12,"总值",AD13:AS13)</f>
        <v>1439.75</v>
      </c>
      <c r="AD13" s="3041">
        <f>面积表!H9</f>
        <v>0</v>
      </c>
      <c r="AE13" s="3041"/>
      <c r="AF13" s="3041"/>
      <c r="AG13" s="3041"/>
      <c r="AH13" s="3041">
        <f>面积表!I9</f>
        <v>0</v>
      </c>
      <c r="AI13" s="3041"/>
      <c r="AJ13" s="3041"/>
      <c r="AK13" s="3041"/>
      <c r="AL13" s="3041">
        <f>面积表!K9</f>
        <v>0</v>
      </c>
      <c r="AM13" s="3041"/>
      <c r="AN13" s="3041">
        <f>面积表!O9</f>
        <v>1439.75</v>
      </c>
      <c r="AO13" s="3041"/>
      <c r="AP13" s="3041"/>
      <c r="AQ13" s="3041"/>
      <c r="AR13" s="3041"/>
      <c r="AS13" s="3041"/>
      <c r="AT13" s="3042">
        <f>面积表!J9+面积表!P9</f>
        <v>0</v>
      </c>
      <c r="AU13" s="3043"/>
      <c r="AV13" s="17">
        <f t="shared" ref="AV13:AX20" si="10">A13</f>
        <v>0</v>
      </c>
      <c r="AW13" s="17">
        <f t="shared" si="10"/>
        <v>0</v>
      </c>
      <c r="AX13" s="17" t="str">
        <f t="shared" si="10"/>
        <v>1-1#住宅楼</v>
      </c>
      <c r="AY13" s="995">
        <f t="shared" ref="AY13:AY20" si="11">ROUND($AY$6*AZ13/$AZ$5,2)</f>
        <v>2714.91</v>
      </c>
      <c r="AZ13" s="27">
        <f t="shared" ref="AZ13:AZ20" si="12">BA13+BL13</f>
        <v>7954.44</v>
      </c>
      <c r="BA13" s="27">
        <f t="shared" ref="BA13:BA20" si="13">SUM(BB13:BK13)</f>
        <v>6514.69</v>
      </c>
      <c r="BB13" s="27">
        <f t="shared" ref="BB13:BB20" si="14">IF($D13="是",I13-J13,0)</f>
        <v>5304.99</v>
      </c>
      <c r="BC13" s="27">
        <f t="shared" ref="BC13:BC20" si="15">IF($D13="是",K13-L13,0)</f>
        <v>0</v>
      </c>
      <c r="BD13" s="27">
        <f t="shared" ref="BD13:BD20" si="16">IF($D13="是",M13-N13,0)</f>
        <v>1209.7</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1439.75</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1439.75</v>
      </c>
      <c r="BS13" s="27">
        <f t="shared" ref="BS13:BS20" si="31">IF($D13="是",AP13-AQ13,0)</f>
        <v>0</v>
      </c>
      <c r="BT13" s="36">
        <f t="shared" ref="BT13:BT20" si="32">IF($D13="是",AR13-AS13,0)</f>
        <v>0</v>
      </c>
    </row>
    <row r="14" spans="1:72" s="18" customFormat="1" ht="12.75">
      <c r="A14" s="3035"/>
      <c r="B14" s="3035"/>
      <c r="C14" s="3035" t="str">
        <f>面积表!C10</f>
        <v>1-2#住宅楼</v>
      </c>
      <c r="D14" s="3036" t="s">
        <v>1675</v>
      </c>
      <c r="E14" s="27">
        <f t="shared" si="6"/>
        <v>2714.28</v>
      </c>
      <c r="F14" s="81"/>
      <c r="G14" s="82">
        <f t="shared" si="7"/>
        <v>7952.61</v>
      </c>
      <c r="H14" s="33">
        <f t="shared" si="8"/>
        <v>6514.69</v>
      </c>
      <c r="I14" s="3037">
        <f>面积表!F10</f>
        <v>5304.99</v>
      </c>
      <c r="J14" s="3037"/>
      <c r="K14" s="3037"/>
      <c r="L14" s="3037"/>
      <c r="M14" s="3037">
        <f>面积表!M10</f>
        <v>1209.7</v>
      </c>
      <c r="N14" s="83"/>
      <c r="O14" s="83">
        <f>面积表!N10</f>
        <v>0</v>
      </c>
      <c r="P14" s="83"/>
      <c r="Q14" s="83"/>
      <c r="R14" s="83"/>
      <c r="S14" s="83"/>
      <c r="T14" s="83"/>
      <c r="U14" s="83"/>
      <c r="V14" s="83"/>
      <c r="W14" s="83"/>
      <c r="X14" s="83"/>
      <c r="Y14" s="83"/>
      <c r="Z14" s="83"/>
      <c r="AA14" s="83"/>
      <c r="AB14" s="83"/>
      <c r="AC14" s="27">
        <f t="shared" si="9"/>
        <v>1437.92</v>
      </c>
      <c r="AD14" s="3041">
        <f>面积表!H10</f>
        <v>0</v>
      </c>
      <c r="AE14" s="3041"/>
      <c r="AF14" s="3041"/>
      <c r="AG14" s="3041"/>
      <c r="AH14" s="3041">
        <f>面积表!I10</f>
        <v>0</v>
      </c>
      <c r="AI14" s="3041"/>
      <c r="AJ14" s="3041"/>
      <c r="AK14" s="3041"/>
      <c r="AL14" s="3041">
        <f>面积表!K10</f>
        <v>0</v>
      </c>
      <c r="AM14" s="3041"/>
      <c r="AN14" s="3041">
        <f>面积表!O10</f>
        <v>1437.92</v>
      </c>
      <c r="AO14" s="3041"/>
      <c r="AP14" s="3041"/>
      <c r="AQ14" s="3041"/>
      <c r="AR14" s="3041"/>
      <c r="AS14" s="3041"/>
      <c r="AT14" s="3042">
        <f>面积表!J10+面积表!P10</f>
        <v>0</v>
      </c>
      <c r="AU14" s="3043"/>
      <c r="AV14" s="17">
        <f t="shared" si="10"/>
        <v>0</v>
      </c>
      <c r="AW14" s="17">
        <f t="shared" si="10"/>
        <v>0</v>
      </c>
      <c r="AX14" s="17" t="str">
        <f t="shared" si="10"/>
        <v>1-2#住宅楼</v>
      </c>
      <c r="AY14" s="995">
        <f t="shared" si="11"/>
        <v>2714.28</v>
      </c>
      <c r="AZ14" s="27">
        <f t="shared" si="12"/>
        <v>7952.61</v>
      </c>
      <c r="BA14" s="27">
        <f t="shared" si="13"/>
        <v>6514.69</v>
      </c>
      <c r="BB14" s="27">
        <f t="shared" si="14"/>
        <v>5304.99</v>
      </c>
      <c r="BC14" s="27">
        <f t="shared" si="15"/>
        <v>0</v>
      </c>
      <c r="BD14" s="27">
        <f t="shared" si="16"/>
        <v>1209.7</v>
      </c>
      <c r="BE14" s="27">
        <f t="shared" si="17"/>
        <v>0</v>
      </c>
      <c r="BF14" s="27">
        <f t="shared" si="18"/>
        <v>0</v>
      </c>
      <c r="BG14" s="27">
        <f t="shared" si="19"/>
        <v>0</v>
      </c>
      <c r="BH14" s="27">
        <f t="shared" si="20"/>
        <v>0</v>
      </c>
      <c r="BI14" s="27">
        <f t="shared" si="21"/>
        <v>0</v>
      </c>
      <c r="BJ14" s="27">
        <f t="shared" si="22"/>
        <v>0</v>
      </c>
      <c r="BK14" s="27">
        <f t="shared" si="23"/>
        <v>0</v>
      </c>
      <c r="BL14" s="27">
        <f t="shared" si="24"/>
        <v>1437.92</v>
      </c>
      <c r="BM14" s="27">
        <f t="shared" si="25"/>
        <v>0</v>
      </c>
      <c r="BN14" s="27">
        <f t="shared" si="26"/>
        <v>0</v>
      </c>
      <c r="BO14" s="27">
        <f t="shared" si="27"/>
        <v>0</v>
      </c>
      <c r="BP14" s="27">
        <f t="shared" si="28"/>
        <v>0</v>
      </c>
      <c r="BQ14" s="27">
        <f t="shared" si="29"/>
        <v>0</v>
      </c>
      <c r="BR14" s="27">
        <f t="shared" si="30"/>
        <v>1437.92</v>
      </c>
      <c r="BS14" s="27">
        <f t="shared" si="31"/>
        <v>0</v>
      </c>
      <c r="BT14" s="36">
        <f t="shared" si="32"/>
        <v>0</v>
      </c>
    </row>
    <row r="15" spans="1:72" s="18" customFormat="1" ht="12.75">
      <c r="A15" s="3035"/>
      <c r="B15" s="3035"/>
      <c r="C15" s="3035" t="str">
        <f>面积表!C11</f>
        <v>1-3#住宅楼</v>
      </c>
      <c r="D15" s="3036" t="s">
        <v>1675</v>
      </c>
      <c r="E15" s="27">
        <f t="shared" si="6"/>
        <v>3811.25</v>
      </c>
      <c r="F15" s="81"/>
      <c r="G15" s="82">
        <f t="shared" si="7"/>
        <v>11166.62</v>
      </c>
      <c r="H15" s="33">
        <f t="shared" si="8"/>
        <v>9107.2000000000007</v>
      </c>
      <c r="I15" s="3037">
        <f>面积表!F11</f>
        <v>7417.88</v>
      </c>
      <c r="J15" s="3037"/>
      <c r="K15" s="3037"/>
      <c r="L15" s="3037"/>
      <c r="M15" s="3037">
        <f>面积表!M11</f>
        <v>1689.32</v>
      </c>
      <c r="N15" s="83"/>
      <c r="O15" s="83">
        <f>面积表!N11</f>
        <v>0</v>
      </c>
      <c r="P15" s="83"/>
      <c r="Q15" s="83"/>
      <c r="R15" s="83"/>
      <c r="S15" s="83"/>
      <c r="T15" s="83"/>
      <c r="U15" s="83"/>
      <c r="V15" s="83"/>
      <c r="W15" s="83"/>
      <c r="X15" s="83"/>
      <c r="Y15" s="83"/>
      <c r="Z15" s="83"/>
      <c r="AA15" s="83"/>
      <c r="AB15" s="83"/>
      <c r="AC15" s="27">
        <f t="shared" si="9"/>
        <v>2059.42</v>
      </c>
      <c r="AD15" s="3041">
        <f>面积表!H11</f>
        <v>0</v>
      </c>
      <c r="AE15" s="3041"/>
      <c r="AF15" s="3041"/>
      <c r="AG15" s="3041"/>
      <c r="AH15" s="3041">
        <f>面积表!I11</f>
        <v>0</v>
      </c>
      <c r="AI15" s="3041"/>
      <c r="AJ15" s="3041"/>
      <c r="AK15" s="3041"/>
      <c r="AL15" s="3041">
        <f>面积表!K11</f>
        <v>60</v>
      </c>
      <c r="AM15" s="3041"/>
      <c r="AN15" s="3041">
        <f>面积表!O11</f>
        <v>1999.42</v>
      </c>
      <c r="AO15" s="3041"/>
      <c r="AP15" s="3041"/>
      <c r="AQ15" s="3041"/>
      <c r="AR15" s="3041"/>
      <c r="AS15" s="3041"/>
      <c r="AT15" s="3042">
        <f>面积表!J11+面积表!P11</f>
        <v>0</v>
      </c>
      <c r="AU15" s="3043"/>
      <c r="AV15" s="17">
        <f t="shared" si="10"/>
        <v>0</v>
      </c>
      <c r="AW15" s="17">
        <f t="shared" si="10"/>
        <v>0</v>
      </c>
      <c r="AX15" s="17" t="str">
        <f t="shared" si="10"/>
        <v>1-3#住宅楼</v>
      </c>
      <c r="AY15" s="995">
        <f t="shared" si="11"/>
        <v>3811.25</v>
      </c>
      <c r="AZ15" s="27">
        <f t="shared" si="12"/>
        <v>11166.62</v>
      </c>
      <c r="BA15" s="27">
        <f t="shared" si="13"/>
        <v>9107.2000000000007</v>
      </c>
      <c r="BB15" s="27">
        <f t="shared" si="14"/>
        <v>7417.88</v>
      </c>
      <c r="BC15" s="27">
        <f t="shared" si="15"/>
        <v>0</v>
      </c>
      <c r="BD15" s="27">
        <f t="shared" si="16"/>
        <v>1689.32</v>
      </c>
      <c r="BE15" s="27">
        <f t="shared" si="17"/>
        <v>0</v>
      </c>
      <c r="BF15" s="27">
        <f t="shared" si="18"/>
        <v>0</v>
      </c>
      <c r="BG15" s="27">
        <f t="shared" si="19"/>
        <v>0</v>
      </c>
      <c r="BH15" s="27">
        <f t="shared" si="20"/>
        <v>0</v>
      </c>
      <c r="BI15" s="27">
        <f t="shared" si="21"/>
        <v>0</v>
      </c>
      <c r="BJ15" s="27">
        <f t="shared" si="22"/>
        <v>0</v>
      </c>
      <c r="BK15" s="27">
        <f t="shared" si="23"/>
        <v>0</v>
      </c>
      <c r="BL15" s="27">
        <f t="shared" si="24"/>
        <v>2059.42</v>
      </c>
      <c r="BM15" s="27">
        <f t="shared" si="25"/>
        <v>0</v>
      </c>
      <c r="BN15" s="27">
        <f t="shared" si="26"/>
        <v>0</v>
      </c>
      <c r="BO15" s="27">
        <f t="shared" si="27"/>
        <v>0</v>
      </c>
      <c r="BP15" s="27">
        <f t="shared" si="28"/>
        <v>0</v>
      </c>
      <c r="BQ15" s="27">
        <f t="shared" si="29"/>
        <v>60</v>
      </c>
      <c r="BR15" s="27">
        <f t="shared" si="30"/>
        <v>1999.42</v>
      </c>
      <c r="BS15" s="27">
        <f t="shared" si="31"/>
        <v>0</v>
      </c>
      <c r="BT15" s="36">
        <f t="shared" si="32"/>
        <v>0</v>
      </c>
    </row>
    <row r="16" spans="1:72" s="18" customFormat="1" ht="12.75">
      <c r="A16" s="3035"/>
      <c r="B16" s="3035"/>
      <c r="C16" s="3035" t="str">
        <f>面积表!C12</f>
        <v>1-4#住宅楼</v>
      </c>
      <c r="D16" s="3036" t="s">
        <v>1675</v>
      </c>
      <c r="E16" s="27">
        <f t="shared" si="6"/>
        <v>1642.42</v>
      </c>
      <c r="F16" s="81"/>
      <c r="G16" s="82">
        <f t="shared" si="7"/>
        <v>4812.1500000000005</v>
      </c>
      <c r="H16" s="33">
        <f t="shared" si="8"/>
        <v>4020.4500000000003</v>
      </c>
      <c r="I16" s="3037">
        <f>面积表!F12</f>
        <v>3194.26</v>
      </c>
      <c r="J16" s="3037"/>
      <c r="K16" s="3037"/>
      <c r="L16" s="3037"/>
      <c r="M16" s="3037">
        <f>面积表!M12</f>
        <v>826.19</v>
      </c>
      <c r="N16" s="83"/>
      <c r="O16" s="83">
        <f>面积表!N12</f>
        <v>0</v>
      </c>
      <c r="P16" s="83"/>
      <c r="Q16" s="83"/>
      <c r="R16" s="83"/>
      <c r="S16" s="83"/>
      <c r="T16" s="83"/>
      <c r="U16" s="83"/>
      <c r="V16" s="83"/>
      <c r="W16" s="83"/>
      <c r="X16" s="83"/>
      <c r="Y16" s="83"/>
      <c r="Z16" s="83"/>
      <c r="AA16" s="83"/>
      <c r="AB16" s="83"/>
      <c r="AC16" s="27">
        <f t="shared" si="9"/>
        <v>791.7</v>
      </c>
      <c r="AD16" s="3041">
        <f>面积表!H12</f>
        <v>0</v>
      </c>
      <c r="AE16" s="3041"/>
      <c r="AF16" s="3041"/>
      <c r="AG16" s="3041"/>
      <c r="AH16" s="3041">
        <f>面积表!I12</f>
        <v>0</v>
      </c>
      <c r="AI16" s="3041"/>
      <c r="AJ16" s="3041"/>
      <c r="AK16" s="3041"/>
      <c r="AL16" s="3041">
        <f>面积表!K12</f>
        <v>0</v>
      </c>
      <c r="AM16" s="3041"/>
      <c r="AN16" s="3041">
        <f>面积表!O12</f>
        <v>791.7</v>
      </c>
      <c r="AO16" s="3041"/>
      <c r="AP16" s="3041"/>
      <c r="AQ16" s="3041"/>
      <c r="AR16" s="3041"/>
      <c r="AS16" s="3041"/>
      <c r="AT16" s="3042">
        <f>面积表!J12+面积表!P12</f>
        <v>0</v>
      </c>
      <c r="AU16" s="3043"/>
      <c r="AV16" s="17">
        <f t="shared" si="10"/>
        <v>0</v>
      </c>
      <c r="AW16" s="17">
        <f t="shared" si="10"/>
        <v>0</v>
      </c>
      <c r="AX16" s="17" t="str">
        <f t="shared" si="10"/>
        <v>1-4#住宅楼</v>
      </c>
      <c r="AY16" s="995">
        <f t="shared" si="11"/>
        <v>1642.42</v>
      </c>
      <c r="AZ16" s="27">
        <f t="shared" si="12"/>
        <v>4812.1500000000005</v>
      </c>
      <c r="BA16" s="27">
        <f t="shared" si="13"/>
        <v>4020.4500000000003</v>
      </c>
      <c r="BB16" s="27">
        <f t="shared" si="14"/>
        <v>3194.26</v>
      </c>
      <c r="BC16" s="27">
        <f t="shared" si="15"/>
        <v>0</v>
      </c>
      <c r="BD16" s="27">
        <f t="shared" si="16"/>
        <v>826.19</v>
      </c>
      <c r="BE16" s="27">
        <f t="shared" si="17"/>
        <v>0</v>
      </c>
      <c r="BF16" s="27">
        <f t="shared" si="18"/>
        <v>0</v>
      </c>
      <c r="BG16" s="27">
        <f t="shared" si="19"/>
        <v>0</v>
      </c>
      <c r="BH16" s="27">
        <f t="shared" si="20"/>
        <v>0</v>
      </c>
      <c r="BI16" s="27">
        <f t="shared" si="21"/>
        <v>0</v>
      </c>
      <c r="BJ16" s="27">
        <f t="shared" si="22"/>
        <v>0</v>
      </c>
      <c r="BK16" s="27">
        <f t="shared" si="23"/>
        <v>0</v>
      </c>
      <c r="BL16" s="27">
        <f t="shared" si="24"/>
        <v>791.7</v>
      </c>
      <c r="BM16" s="27">
        <f t="shared" si="25"/>
        <v>0</v>
      </c>
      <c r="BN16" s="27">
        <f t="shared" si="26"/>
        <v>0</v>
      </c>
      <c r="BO16" s="27">
        <f t="shared" si="27"/>
        <v>0</v>
      </c>
      <c r="BP16" s="27">
        <f t="shared" si="28"/>
        <v>0</v>
      </c>
      <c r="BQ16" s="27">
        <f t="shared" si="29"/>
        <v>0</v>
      </c>
      <c r="BR16" s="27">
        <f t="shared" si="30"/>
        <v>791.7</v>
      </c>
      <c r="BS16" s="27">
        <f t="shared" si="31"/>
        <v>0</v>
      </c>
      <c r="BT16" s="36">
        <f t="shared" si="32"/>
        <v>0</v>
      </c>
    </row>
    <row r="17" spans="1:72" s="18" customFormat="1" ht="12.75">
      <c r="A17" s="3035"/>
      <c r="B17" s="3035"/>
      <c r="C17" s="3035" t="str">
        <f>面积表!C13</f>
        <v>1-5#住宅楼</v>
      </c>
      <c r="D17" s="3036" t="s">
        <v>1675</v>
      </c>
      <c r="E17" s="27">
        <f t="shared" si="6"/>
        <v>2182.4899999999998</v>
      </c>
      <c r="F17" s="81"/>
      <c r="G17" s="82">
        <f t="shared" si="7"/>
        <v>6394.4999999999991</v>
      </c>
      <c r="H17" s="33">
        <f t="shared" si="8"/>
        <v>5326.6399999999994</v>
      </c>
      <c r="I17" s="3037">
        <f>面积表!F13</f>
        <v>4262.7299999999996</v>
      </c>
      <c r="J17" s="3037"/>
      <c r="K17" s="3037"/>
      <c r="L17" s="3037"/>
      <c r="M17" s="3037">
        <f>面积表!M13</f>
        <v>1063.9100000000001</v>
      </c>
      <c r="N17" s="83"/>
      <c r="O17" s="83">
        <f>面积表!N13</f>
        <v>0</v>
      </c>
      <c r="P17" s="83"/>
      <c r="Q17" s="83"/>
      <c r="R17" s="83"/>
      <c r="S17" s="83"/>
      <c r="T17" s="83"/>
      <c r="U17" s="83"/>
      <c r="V17" s="83"/>
      <c r="W17" s="83"/>
      <c r="X17" s="83"/>
      <c r="Y17" s="83"/>
      <c r="Z17" s="83"/>
      <c r="AA17" s="83"/>
      <c r="AB17" s="83"/>
      <c r="AC17" s="27">
        <f t="shared" si="9"/>
        <v>1067.8599999999999</v>
      </c>
      <c r="AD17" s="3041">
        <f>面积表!H13</f>
        <v>0</v>
      </c>
      <c r="AE17" s="3041"/>
      <c r="AF17" s="3041"/>
      <c r="AG17" s="3041"/>
      <c r="AH17" s="3041">
        <f>面积表!I13</f>
        <v>0</v>
      </c>
      <c r="AI17" s="3041"/>
      <c r="AJ17" s="3041"/>
      <c r="AK17" s="3041"/>
      <c r="AL17" s="3041">
        <f>面积表!K13</f>
        <v>0</v>
      </c>
      <c r="AM17" s="3041"/>
      <c r="AN17" s="3041">
        <f>面积表!O13</f>
        <v>1067.8599999999999</v>
      </c>
      <c r="AO17" s="3041"/>
      <c r="AP17" s="3041"/>
      <c r="AQ17" s="3041"/>
      <c r="AR17" s="3041"/>
      <c r="AS17" s="3041"/>
      <c r="AT17" s="3042">
        <f>面积表!J13+面积表!P13</f>
        <v>0</v>
      </c>
      <c r="AU17" s="3043"/>
      <c r="AV17" s="17">
        <f t="shared" si="10"/>
        <v>0</v>
      </c>
      <c r="AW17" s="17">
        <f t="shared" si="10"/>
        <v>0</v>
      </c>
      <c r="AX17" s="17" t="str">
        <f t="shared" si="10"/>
        <v>1-5#住宅楼</v>
      </c>
      <c r="AY17" s="995">
        <f t="shared" si="11"/>
        <v>2182.4899999999998</v>
      </c>
      <c r="AZ17" s="27">
        <f t="shared" si="12"/>
        <v>6394.4999999999991</v>
      </c>
      <c r="BA17" s="27">
        <f t="shared" si="13"/>
        <v>5326.6399999999994</v>
      </c>
      <c r="BB17" s="27">
        <f t="shared" si="14"/>
        <v>4262.7299999999996</v>
      </c>
      <c r="BC17" s="27">
        <f t="shared" si="15"/>
        <v>0</v>
      </c>
      <c r="BD17" s="27">
        <f t="shared" si="16"/>
        <v>1063.9100000000001</v>
      </c>
      <c r="BE17" s="27">
        <f t="shared" si="17"/>
        <v>0</v>
      </c>
      <c r="BF17" s="27">
        <f t="shared" si="18"/>
        <v>0</v>
      </c>
      <c r="BG17" s="27">
        <f t="shared" si="19"/>
        <v>0</v>
      </c>
      <c r="BH17" s="27">
        <f t="shared" si="20"/>
        <v>0</v>
      </c>
      <c r="BI17" s="27">
        <f t="shared" si="21"/>
        <v>0</v>
      </c>
      <c r="BJ17" s="27">
        <f t="shared" si="22"/>
        <v>0</v>
      </c>
      <c r="BK17" s="27">
        <f t="shared" si="23"/>
        <v>0</v>
      </c>
      <c r="BL17" s="27">
        <f t="shared" si="24"/>
        <v>1067.8599999999999</v>
      </c>
      <c r="BM17" s="27">
        <f t="shared" si="25"/>
        <v>0</v>
      </c>
      <c r="BN17" s="27">
        <f t="shared" si="26"/>
        <v>0</v>
      </c>
      <c r="BO17" s="27">
        <f t="shared" si="27"/>
        <v>0</v>
      </c>
      <c r="BP17" s="27">
        <f t="shared" si="28"/>
        <v>0</v>
      </c>
      <c r="BQ17" s="27">
        <f t="shared" si="29"/>
        <v>0</v>
      </c>
      <c r="BR17" s="27">
        <f t="shared" si="30"/>
        <v>1067.8599999999999</v>
      </c>
      <c r="BS17" s="27">
        <f t="shared" si="31"/>
        <v>0</v>
      </c>
      <c r="BT17" s="36">
        <f t="shared" si="32"/>
        <v>0</v>
      </c>
    </row>
    <row r="18" spans="1:72" ht="13.5" customHeight="1">
      <c r="A18" s="84"/>
      <c r="B18" s="85"/>
      <c r="C18" s="3035" t="str">
        <f>面积表!C14</f>
        <v>1-6#住宅楼</v>
      </c>
      <c r="D18" s="3036" t="s">
        <v>1675</v>
      </c>
      <c r="E18" s="87">
        <f t="shared" si="6"/>
        <v>2782.37</v>
      </c>
      <c r="F18" s="88"/>
      <c r="G18" s="89">
        <f t="shared" si="7"/>
        <v>8152.0899999999992</v>
      </c>
      <c r="H18" s="90">
        <f t="shared" si="8"/>
        <v>6725.8899999999994</v>
      </c>
      <c r="I18" s="3037">
        <f>面积表!F14</f>
        <v>5570.41</v>
      </c>
      <c r="J18" s="91"/>
      <c r="K18" s="1391"/>
      <c r="L18" s="91"/>
      <c r="M18" s="3037">
        <f>面积表!M14</f>
        <v>1155.48</v>
      </c>
      <c r="N18" s="91"/>
      <c r="O18" s="83">
        <f>面积表!N14</f>
        <v>0</v>
      </c>
      <c r="P18" s="91"/>
      <c r="Q18" s="91"/>
      <c r="R18" s="91"/>
      <c r="S18" s="91"/>
      <c r="T18" s="91"/>
      <c r="U18" s="91"/>
      <c r="V18" s="91"/>
      <c r="W18" s="91"/>
      <c r="X18" s="91"/>
      <c r="Y18" s="91"/>
      <c r="Z18" s="91"/>
      <c r="AA18" s="91"/>
      <c r="AB18" s="91"/>
      <c r="AC18" s="87">
        <f t="shared" si="9"/>
        <v>1400.2</v>
      </c>
      <c r="AD18" s="3041">
        <f>面积表!H14</f>
        <v>0</v>
      </c>
      <c r="AE18" s="92"/>
      <c r="AF18" s="1391"/>
      <c r="AG18" s="92"/>
      <c r="AH18" s="3041">
        <f>面积表!I14</f>
        <v>0</v>
      </c>
      <c r="AI18" s="92"/>
      <c r="AJ18" s="92"/>
      <c r="AK18" s="92"/>
      <c r="AL18" s="3041">
        <f>面积表!K14</f>
        <v>0</v>
      </c>
      <c r="AM18" s="92"/>
      <c r="AN18" s="3041">
        <f>面积表!O14</f>
        <v>1400.2</v>
      </c>
      <c r="AO18" s="92"/>
      <c r="AP18" s="92"/>
      <c r="AQ18" s="92"/>
      <c r="AR18" s="92"/>
      <c r="AS18" s="92"/>
      <c r="AT18" s="3042">
        <f>面积表!J14+面积表!P14</f>
        <v>26</v>
      </c>
      <c r="AU18" s="94"/>
      <c r="AV18" s="991">
        <f t="shared" si="10"/>
        <v>0</v>
      </c>
      <c r="AW18" s="991">
        <f t="shared" si="10"/>
        <v>0</v>
      </c>
      <c r="AX18" s="991" t="str">
        <f t="shared" si="10"/>
        <v>1-6#住宅楼</v>
      </c>
      <c r="AY18" s="95">
        <f t="shared" si="11"/>
        <v>2773.49</v>
      </c>
      <c r="AZ18" s="87">
        <f t="shared" si="12"/>
        <v>8126.0899999999992</v>
      </c>
      <c r="BA18" s="87">
        <f t="shared" si="13"/>
        <v>6725.8899999999994</v>
      </c>
      <c r="BB18" s="87">
        <f t="shared" si="14"/>
        <v>5570.41</v>
      </c>
      <c r="BC18" s="87">
        <f t="shared" si="15"/>
        <v>0</v>
      </c>
      <c r="BD18" s="87">
        <f t="shared" si="16"/>
        <v>1155.48</v>
      </c>
      <c r="BE18" s="87">
        <f t="shared" si="17"/>
        <v>0</v>
      </c>
      <c r="BF18" s="87">
        <f t="shared" si="18"/>
        <v>0</v>
      </c>
      <c r="BG18" s="87">
        <f t="shared" si="19"/>
        <v>0</v>
      </c>
      <c r="BH18" s="87">
        <f t="shared" si="20"/>
        <v>0</v>
      </c>
      <c r="BI18" s="87">
        <f t="shared" si="21"/>
        <v>0</v>
      </c>
      <c r="BJ18" s="87">
        <f t="shared" si="22"/>
        <v>0</v>
      </c>
      <c r="BK18" s="87">
        <f t="shared" si="23"/>
        <v>0</v>
      </c>
      <c r="BL18" s="87">
        <f t="shared" si="24"/>
        <v>1400.2</v>
      </c>
      <c r="BM18" s="87">
        <f t="shared" si="25"/>
        <v>0</v>
      </c>
      <c r="BN18" s="87">
        <f t="shared" si="26"/>
        <v>0</v>
      </c>
      <c r="BO18" s="87">
        <f t="shared" si="27"/>
        <v>0</v>
      </c>
      <c r="BP18" s="87">
        <f t="shared" si="28"/>
        <v>0</v>
      </c>
      <c r="BQ18" s="87">
        <f t="shared" si="29"/>
        <v>0</v>
      </c>
      <c r="BR18" s="87">
        <f t="shared" si="30"/>
        <v>1400.2</v>
      </c>
      <c r="BS18" s="87">
        <f t="shared" si="31"/>
        <v>0</v>
      </c>
      <c r="BT18" s="96">
        <f t="shared" si="32"/>
        <v>0</v>
      </c>
    </row>
    <row r="19" spans="1:72" ht="13.5" customHeight="1">
      <c r="A19" s="84"/>
      <c r="B19" s="1395"/>
      <c r="C19" s="3035" t="str">
        <f>面积表!C15</f>
        <v>1-7#住宅楼</v>
      </c>
      <c r="D19" s="3036" t="s">
        <v>1675</v>
      </c>
      <c r="E19" s="87">
        <f t="shared" si="6"/>
        <v>3892.98</v>
      </c>
      <c r="F19" s="88"/>
      <c r="G19" s="89">
        <f t="shared" si="7"/>
        <v>11406.08</v>
      </c>
      <c r="H19" s="90">
        <f t="shared" si="8"/>
        <v>9480.34</v>
      </c>
      <c r="I19" s="3037">
        <f>面积表!F15</f>
        <v>7690.47</v>
      </c>
      <c r="J19" s="91"/>
      <c r="K19" s="1391"/>
      <c r="L19" s="91"/>
      <c r="M19" s="3037">
        <f>面积表!M15</f>
        <v>1789.87</v>
      </c>
      <c r="N19" s="91"/>
      <c r="O19" s="83">
        <f>面积表!N15</f>
        <v>0</v>
      </c>
      <c r="P19" s="91"/>
      <c r="Q19" s="91"/>
      <c r="R19" s="91"/>
      <c r="S19" s="91"/>
      <c r="T19" s="91"/>
      <c r="U19" s="91"/>
      <c r="V19" s="91"/>
      <c r="W19" s="91"/>
      <c r="X19" s="91"/>
      <c r="Y19" s="91"/>
      <c r="Z19" s="91"/>
      <c r="AA19" s="91"/>
      <c r="AB19" s="91"/>
      <c r="AC19" s="87">
        <f t="shared" si="9"/>
        <v>1925.74</v>
      </c>
      <c r="AD19" s="3041">
        <f>面积表!H15</f>
        <v>0</v>
      </c>
      <c r="AE19" s="92"/>
      <c r="AF19" s="1391"/>
      <c r="AG19" s="92"/>
      <c r="AH19" s="3041">
        <f>面积表!I15</f>
        <v>0</v>
      </c>
      <c r="AI19" s="92"/>
      <c r="AJ19" s="92"/>
      <c r="AK19" s="92"/>
      <c r="AL19" s="3041">
        <f>面积表!K15</f>
        <v>0</v>
      </c>
      <c r="AM19" s="92"/>
      <c r="AN19" s="3041">
        <f>面积表!O15</f>
        <v>1925.74</v>
      </c>
      <c r="AO19" s="92"/>
      <c r="AP19" s="92"/>
      <c r="AQ19" s="92"/>
      <c r="AR19" s="92"/>
      <c r="AS19" s="92"/>
      <c r="AT19" s="3042">
        <f>面积表!J15+面积表!P15</f>
        <v>0</v>
      </c>
      <c r="AU19" s="94"/>
      <c r="AV19" s="991">
        <f t="shared" si="10"/>
        <v>0</v>
      </c>
      <c r="AW19" s="991">
        <f t="shared" si="10"/>
        <v>0</v>
      </c>
      <c r="AX19" s="991" t="str">
        <f t="shared" si="10"/>
        <v>1-7#住宅楼</v>
      </c>
      <c r="AY19" s="95">
        <f t="shared" si="11"/>
        <v>3892.98</v>
      </c>
      <c r="AZ19" s="87">
        <f t="shared" si="12"/>
        <v>11406.08</v>
      </c>
      <c r="BA19" s="87">
        <f t="shared" si="13"/>
        <v>9480.34</v>
      </c>
      <c r="BB19" s="87">
        <f t="shared" si="14"/>
        <v>7690.47</v>
      </c>
      <c r="BC19" s="87">
        <f t="shared" si="15"/>
        <v>0</v>
      </c>
      <c r="BD19" s="87">
        <f t="shared" si="16"/>
        <v>1789.87</v>
      </c>
      <c r="BE19" s="87">
        <f t="shared" si="17"/>
        <v>0</v>
      </c>
      <c r="BF19" s="87">
        <f t="shared" si="18"/>
        <v>0</v>
      </c>
      <c r="BG19" s="87">
        <f t="shared" si="19"/>
        <v>0</v>
      </c>
      <c r="BH19" s="87">
        <f t="shared" si="20"/>
        <v>0</v>
      </c>
      <c r="BI19" s="87">
        <f t="shared" si="21"/>
        <v>0</v>
      </c>
      <c r="BJ19" s="87">
        <f t="shared" si="22"/>
        <v>0</v>
      </c>
      <c r="BK19" s="87">
        <f t="shared" si="23"/>
        <v>0</v>
      </c>
      <c r="BL19" s="87">
        <f t="shared" si="24"/>
        <v>1925.74</v>
      </c>
      <c r="BM19" s="87">
        <f t="shared" si="25"/>
        <v>0</v>
      </c>
      <c r="BN19" s="87">
        <f t="shared" si="26"/>
        <v>0</v>
      </c>
      <c r="BO19" s="87">
        <f t="shared" si="27"/>
        <v>0</v>
      </c>
      <c r="BP19" s="87">
        <f t="shared" si="28"/>
        <v>0</v>
      </c>
      <c r="BQ19" s="87">
        <f t="shared" si="29"/>
        <v>0</v>
      </c>
      <c r="BR19" s="87">
        <f t="shared" si="30"/>
        <v>1925.74</v>
      </c>
      <c r="BS19" s="87">
        <f t="shared" si="31"/>
        <v>0</v>
      </c>
      <c r="BT19" s="96">
        <f t="shared" si="32"/>
        <v>0</v>
      </c>
    </row>
    <row r="20" spans="1:72" ht="13.5" customHeight="1">
      <c r="A20" s="84"/>
      <c r="B20" s="1395"/>
      <c r="C20" s="3035" t="str">
        <f>面积表!C16</f>
        <v>1-8#住宅楼</v>
      </c>
      <c r="D20" s="3036" t="s">
        <v>1675</v>
      </c>
      <c r="E20" s="87">
        <f t="shared" si="6"/>
        <v>3296.1</v>
      </c>
      <c r="F20" s="88"/>
      <c r="G20" s="89">
        <f t="shared" si="7"/>
        <v>9657.2900000000009</v>
      </c>
      <c r="H20" s="90">
        <f t="shared" si="8"/>
        <v>7962.59</v>
      </c>
      <c r="I20" s="3037">
        <f>面积表!F16</f>
        <v>6561.51</v>
      </c>
      <c r="J20" s="91"/>
      <c r="K20" s="1391"/>
      <c r="L20" s="91"/>
      <c r="M20" s="3037">
        <f>面积表!M16</f>
        <v>1401.08</v>
      </c>
      <c r="N20" s="91"/>
      <c r="O20" s="83">
        <f>面积表!N16</f>
        <v>0</v>
      </c>
      <c r="P20" s="91"/>
      <c r="Q20" s="91"/>
      <c r="R20" s="91"/>
      <c r="S20" s="91"/>
      <c r="T20" s="91"/>
      <c r="U20" s="91"/>
      <c r="V20" s="91"/>
      <c r="W20" s="91"/>
      <c r="X20" s="91"/>
      <c r="Y20" s="91"/>
      <c r="Z20" s="91"/>
      <c r="AA20" s="91"/>
      <c r="AB20" s="91"/>
      <c r="AC20" s="87">
        <f t="shared" si="9"/>
        <v>1694.7</v>
      </c>
      <c r="AD20" s="3041">
        <f>面积表!H16</f>
        <v>0</v>
      </c>
      <c r="AE20" s="92"/>
      <c r="AF20" s="1391"/>
      <c r="AG20" s="92"/>
      <c r="AH20" s="3041">
        <f>面积表!I16</f>
        <v>0</v>
      </c>
      <c r="AI20" s="92"/>
      <c r="AJ20" s="92"/>
      <c r="AK20" s="92"/>
      <c r="AL20" s="3041">
        <f>面积表!K16</f>
        <v>0</v>
      </c>
      <c r="AM20" s="92"/>
      <c r="AN20" s="3041">
        <f>面积表!O16</f>
        <v>1694.7</v>
      </c>
      <c r="AO20" s="92"/>
      <c r="AP20" s="92"/>
      <c r="AQ20" s="92"/>
      <c r="AR20" s="92"/>
      <c r="AS20" s="92"/>
      <c r="AT20" s="3042">
        <f>面积表!J16+面积表!P16</f>
        <v>0</v>
      </c>
      <c r="AU20" s="94"/>
      <c r="AV20" s="991">
        <f t="shared" si="10"/>
        <v>0</v>
      </c>
      <c r="AW20" s="991">
        <f t="shared" si="10"/>
        <v>0</v>
      </c>
      <c r="AX20" s="991" t="str">
        <f t="shared" si="10"/>
        <v>1-8#住宅楼</v>
      </c>
      <c r="AY20" s="95">
        <f t="shared" si="11"/>
        <v>3296.1</v>
      </c>
      <c r="AZ20" s="87">
        <f t="shared" si="12"/>
        <v>9657.2900000000009</v>
      </c>
      <c r="BA20" s="87">
        <f t="shared" si="13"/>
        <v>7962.59</v>
      </c>
      <c r="BB20" s="87">
        <f t="shared" si="14"/>
        <v>6561.51</v>
      </c>
      <c r="BC20" s="87">
        <f t="shared" si="15"/>
        <v>0</v>
      </c>
      <c r="BD20" s="87">
        <f t="shared" si="16"/>
        <v>1401.08</v>
      </c>
      <c r="BE20" s="87">
        <f t="shared" si="17"/>
        <v>0</v>
      </c>
      <c r="BF20" s="87">
        <f t="shared" si="18"/>
        <v>0</v>
      </c>
      <c r="BG20" s="87">
        <f t="shared" si="19"/>
        <v>0</v>
      </c>
      <c r="BH20" s="87">
        <f t="shared" si="20"/>
        <v>0</v>
      </c>
      <c r="BI20" s="87">
        <f t="shared" si="21"/>
        <v>0</v>
      </c>
      <c r="BJ20" s="87">
        <f t="shared" si="22"/>
        <v>0</v>
      </c>
      <c r="BK20" s="87">
        <f t="shared" si="23"/>
        <v>0</v>
      </c>
      <c r="BL20" s="87">
        <f t="shared" si="24"/>
        <v>1694.7</v>
      </c>
      <c r="BM20" s="87">
        <f t="shared" si="25"/>
        <v>0</v>
      </c>
      <c r="BN20" s="87">
        <f t="shared" si="26"/>
        <v>0</v>
      </c>
      <c r="BO20" s="87">
        <f t="shared" si="27"/>
        <v>0</v>
      </c>
      <c r="BP20" s="87">
        <f t="shared" si="28"/>
        <v>0</v>
      </c>
      <c r="BQ20" s="87">
        <f t="shared" si="29"/>
        <v>0</v>
      </c>
      <c r="BR20" s="87">
        <f t="shared" si="30"/>
        <v>1694.7</v>
      </c>
      <c r="BS20" s="87">
        <f t="shared" si="31"/>
        <v>0</v>
      </c>
      <c r="BT20" s="96">
        <f t="shared" si="32"/>
        <v>0</v>
      </c>
    </row>
    <row r="21" spans="1:72" ht="13.5" customHeight="1">
      <c r="A21" s="84"/>
      <c r="B21" s="1390"/>
      <c r="C21" s="3035" t="str">
        <f>面积表!C17</f>
        <v>1-9#住宅楼</v>
      </c>
      <c r="D21" s="3036" t="s">
        <v>1675</v>
      </c>
      <c r="E21" s="87">
        <f t="shared" ref="E21:E112" si="33">IF($C$3="是",ROUND($A$3*G21/$B$3,2),ROUND($A$3*(G21-AT21)/$B$3,2))</f>
        <v>2788.51</v>
      </c>
      <c r="F21" s="88"/>
      <c r="G21" s="89">
        <f t="shared" ref="G21:G109" si="34">H21+AC21+AT21</f>
        <v>8170.09</v>
      </c>
      <c r="H21" s="90">
        <f t="shared" ref="H21:H109" si="35">SUMIF(I$12:AB$12,"总值",I21:AB21)</f>
        <v>6747.1900000000005</v>
      </c>
      <c r="I21" s="3037">
        <f>面积表!F17</f>
        <v>5591.71</v>
      </c>
      <c r="J21" s="91"/>
      <c r="K21" s="1393"/>
      <c r="L21" s="91"/>
      <c r="M21" s="3037">
        <f>面积表!M17</f>
        <v>1155.48</v>
      </c>
      <c r="N21" s="91"/>
      <c r="O21" s="83">
        <f>面积表!N17</f>
        <v>0</v>
      </c>
      <c r="P21" s="91"/>
      <c r="Q21" s="91"/>
      <c r="R21" s="91"/>
      <c r="S21" s="91"/>
      <c r="T21" s="91"/>
      <c r="U21" s="91"/>
      <c r="V21" s="91"/>
      <c r="W21" s="91"/>
      <c r="X21" s="91"/>
      <c r="Y21" s="91"/>
      <c r="Z21" s="91"/>
      <c r="AA21" s="91"/>
      <c r="AB21" s="91"/>
      <c r="AC21" s="87">
        <f t="shared" ref="AC21:AC109" si="36">SUMIF(AD$12:AS$12,"总值",AD21:AS21)</f>
        <v>1422.9</v>
      </c>
      <c r="AD21" s="3041">
        <f>面积表!H17</f>
        <v>0</v>
      </c>
      <c r="AE21" s="92"/>
      <c r="AF21" s="1394"/>
      <c r="AG21" s="92"/>
      <c r="AH21" s="3041">
        <f>面积表!I17</f>
        <v>0</v>
      </c>
      <c r="AI21" s="92"/>
      <c r="AJ21" s="92"/>
      <c r="AK21" s="92"/>
      <c r="AL21" s="3041">
        <f>面积表!K17</f>
        <v>0</v>
      </c>
      <c r="AM21" s="92"/>
      <c r="AN21" s="3041">
        <f>面积表!O17</f>
        <v>1422.9</v>
      </c>
      <c r="AO21" s="92"/>
      <c r="AP21" s="92"/>
      <c r="AQ21" s="92"/>
      <c r="AR21" s="92"/>
      <c r="AS21" s="92"/>
      <c r="AT21" s="3042">
        <f>面积表!J17+面积表!P17</f>
        <v>0</v>
      </c>
      <c r="AU21" s="94"/>
      <c r="AV21" s="1976">
        <f t="shared" ref="AV21:AV112" si="37">A21</f>
        <v>0</v>
      </c>
      <c r="AW21" s="1976">
        <f t="shared" ref="AW21:AW112" si="38">B21</f>
        <v>0</v>
      </c>
      <c r="AX21" s="1976" t="str">
        <f t="shared" ref="AX21:AX112" si="39">C21</f>
        <v>1-9#住宅楼</v>
      </c>
      <c r="AY21" s="95">
        <f t="shared" ref="AY21:AY109" si="40">ROUND($AY$6*AZ21/$AZ$5,2)</f>
        <v>2788.51</v>
      </c>
      <c r="AZ21" s="87">
        <f t="shared" ref="AZ21:AZ109" si="41">BA21+BL21</f>
        <v>8170.09</v>
      </c>
      <c r="BA21" s="87">
        <f t="shared" ref="BA21:BA109" si="42">SUM(BB21:BK21)</f>
        <v>6747.1900000000005</v>
      </c>
      <c r="BB21" s="87">
        <f t="shared" ref="BB21:BB109" si="43">IF($D21="是",I21-J21,0)</f>
        <v>5591.71</v>
      </c>
      <c r="BC21" s="87">
        <f t="shared" ref="BC21:BC109" si="44">IF($D21="是",K21-L21,0)</f>
        <v>0</v>
      </c>
      <c r="BD21" s="87">
        <f t="shared" ref="BD21:BD109" si="45">IF($D21="是",M21-N21,0)</f>
        <v>1155.48</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1422.9</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1422.9</v>
      </c>
      <c r="BS21" s="87">
        <f t="shared" ref="BS21:BS109" si="60">IF($D21="是",AP21-AQ21,0)</f>
        <v>0</v>
      </c>
      <c r="BT21" s="96">
        <f t="shared" ref="BT21:BT109" si="61">IF($D21="是",AR21-AS21,0)</f>
        <v>0</v>
      </c>
    </row>
    <row r="22" spans="1:72" ht="13.5" customHeight="1">
      <c r="A22" s="84"/>
      <c r="B22" s="1390"/>
      <c r="C22" s="3035" t="str">
        <f>面积表!C18</f>
        <v>1-10#住宅楼</v>
      </c>
      <c r="D22" s="3036" t="s">
        <v>1675</v>
      </c>
      <c r="E22" s="87">
        <f t="shared" si="33"/>
        <v>1479.65</v>
      </c>
      <c r="F22" s="88"/>
      <c r="G22" s="89">
        <f t="shared" si="34"/>
        <v>4335.25</v>
      </c>
      <c r="H22" s="90">
        <f t="shared" si="35"/>
        <v>3342.38</v>
      </c>
      <c r="I22" s="3037">
        <f>面积表!F18</f>
        <v>1877.66</v>
      </c>
      <c r="J22" s="91"/>
      <c r="K22" s="1393"/>
      <c r="L22" s="91"/>
      <c r="M22" s="3037">
        <f>面积表!M18</f>
        <v>1464.72</v>
      </c>
      <c r="N22" s="91"/>
      <c r="O22" s="83">
        <f>面积表!N18</f>
        <v>0</v>
      </c>
      <c r="P22" s="91"/>
      <c r="Q22" s="91"/>
      <c r="R22" s="91"/>
      <c r="S22" s="91"/>
      <c r="T22" s="91"/>
      <c r="U22" s="91"/>
      <c r="V22" s="91"/>
      <c r="W22" s="91"/>
      <c r="X22" s="91"/>
      <c r="Y22" s="91"/>
      <c r="Z22" s="91"/>
      <c r="AA22" s="91"/>
      <c r="AB22" s="91"/>
      <c r="AC22" s="87">
        <f t="shared" si="36"/>
        <v>992.87</v>
      </c>
      <c r="AD22" s="3041">
        <f>面积表!H18</f>
        <v>0</v>
      </c>
      <c r="AE22" s="92"/>
      <c r="AF22" s="1394"/>
      <c r="AG22" s="92"/>
      <c r="AH22" s="3041">
        <f>面积表!I18</f>
        <v>0</v>
      </c>
      <c r="AI22" s="92"/>
      <c r="AJ22" s="92"/>
      <c r="AK22" s="92"/>
      <c r="AL22" s="3041">
        <f>面积表!K18</f>
        <v>0</v>
      </c>
      <c r="AM22" s="92"/>
      <c r="AN22" s="3041">
        <f>面积表!O18</f>
        <v>992.87</v>
      </c>
      <c r="AO22" s="92"/>
      <c r="AP22" s="92"/>
      <c r="AQ22" s="92"/>
      <c r="AR22" s="92"/>
      <c r="AS22" s="92"/>
      <c r="AT22" s="3042">
        <f>面积表!J18+面积表!P18</f>
        <v>0</v>
      </c>
      <c r="AU22" s="94"/>
      <c r="AV22" s="1976">
        <f t="shared" si="37"/>
        <v>0</v>
      </c>
      <c r="AW22" s="1976">
        <f t="shared" si="38"/>
        <v>0</v>
      </c>
      <c r="AX22" s="1976" t="str">
        <f t="shared" si="39"/>
        <v>1-10#住宅楼</v>
      </c>
      <c r="AY22" s="95">
        <f t="shared" si="40"/>
        <v>1479.65</v>
      </c>
      <c r="AZ22" s="87">
        <f t="shared" si="41"/>
        <v>4335.25</v>
      </c>
      <c r="BA22" s="87">
        <f t="shared" si="42"/>
        <v>3342.38</v>
      </c>
      <c r="BB22" s="87">
        <f t="shared" si="43"/>
        <v>1877.66</v>
      </c>
      <c r="BC22" s="87">
        <f t="shared" si="44"/>
        <v>0</v>
      </c>
      <c r="BD22" s="87">
        <f t="shared" si="45"/>
        <v>1464.72</v>
      </c>
      <c r="BE22" s="87">
        <f t="shared" si="46"/>
        <v>0</v>
      </c>
      <c r="BF22" s="87">
        <f t="shared" si="47"/>
        <v>0</v>
      </c>
      <c r="BG22" s="87">
        <f t="shared" si="48"/>
        <v>0</v>
      </c>
      <c r="BH22" s="87">
        <f t="shared" si="49"/>
        <v>0</v>
      </c>
      <c r="BI22" s="87">
        <f t="shared" si="50"/>
        <v>0</v>
      </c>
      <c r="BJ22" s="87">
        <f t="shared" si="51"/>
        <v>0</v>
      </c>
      <c r="BK22" s="87">
        <f t="shared" si="52"/>
        <v>0</v>
      </c>
      <c r="BL22" s="87">
        <f t="shared" si="53"/>
        <v>992.87</v>
      </c>
      <c r="BM22" s="87">
        <f t="shared" si="54"/>
        <v>0</v>
      </c>
      <c r="BN22" s="87">
        <f t="shared" si="55"/>
        <v>0</v>
      </c>
      <c r="BO22" s="87">
        <f t="shared" si="56"/>
        <v>0</v>
      </c>
      <c r="BP22" s="87">
        <f t="shared" si="57"/>
        <v>0</v>
      </c>
      <c r="BQ22" s="87">
        <f t="shared" si="58"/>
        <v>0</v>
      </c>
      <c r="BR22" s="87">
        <f t="shared" si="59"/>
        <v>992.87</v>
      </c>
      <c r="BS22" s="87">
        <f t="shared" si="60"/>
        <v>0</v>
      </c>
      <c r="BT22" s="96">
        <f t="shared" si="61"/>
        <v>0</v>
      </c>
    </row>
    <row r="23" spans="1:72" ht="13.5" customHeight="1">
      <c r="A23" s="84"/>
      <c r="B23" s="1390"/>
      <c r="C23" s="3035" t="str">
        <f>面积表!C19</f>
        <v>1-11#住宅楼</v>
      </c>
      <c r="D23" s="3036" t="s">
        <v>1675</v>
      </c>
      <c r="E23" s="87">
        <f t="shared" si="33"/>
        <v>1111.01</v>
      </c>
      <c r="F23" s="88"/>
      <c r="G23" s="89">
        <f t="shared" si="34"/>
        <v>3255.17</v>
      </c>
      <c r="H23" s="90">
        <f t="shared" si="35"/>
        <v>2508.88</v>
      </c>
      <c r="I23" s="3037">
        <f>面积表!F19</f>
        <v>1410.79</v>
      </c>
      <c r="J23" s="91"/>
      <c r="K23" s="1393"/>
      <c r="L23" s="91"/>
      <c r="M23" s="3037">
        <f>面积表!M19</f>
        <v>1098.0899999999999</v>
      </c>
      <c r="N23" s="91"/>
      <c r="O23" s="83">
        <f>面积表!N19</f>
        <v>0</v>
      </c>
      <c r="P23" s="91"/>
      <c r="Q23" s="91"/>
      <c r="R23" s="91"/>
      <c r="S23" s="91"/>
      <c r="T23" s="91"/>
      <c r="U23" s="91"/>
      <c r="V23" s="91"/>
      <c r="W23" s="91"/>
      <c r="X23" s="91"/>
      <c r="Y23" s="91"/>
      <c r="Z23" s="91"/>
      <c r="AA23" s="91"/>
      <c r="AB23" s="91"/>
      <c r="AC23" s="87">
        <f t="shared" si="36"/>
        <v>746.29</v>
      </c>
      <c r="AD23" s="3041">
        <f>面积表!H19</f>
        <v>0</v>
      </c>
      <c r="AE23" s="92"/>
      <c r="AF23" s="1394"/>
      <c r="AG23" s="92"/>
      <c r="AH23" s="3041">
        <f>面积表!I19</f>
        <v>0</v>
      </c>
      <c r="AI23" s="92"/>
      <c r="AJ23" s="92"/>
      <c r="AK23" s="92"/>
      <c r="AL23" s="3041">
        <f>面积表!K19</f>
        <v>0</v>
      </c>
      <c r="AM23" s="92"/>
      <c r="AN23" s="3041">
        <f>面积表!O19</f>
        <v>746.29</v>
      </c>
      <c r="AO23" s="92"/>
      <c r="AP23" s="92"/>
      <c r="AQ23" s="92"/>
      <c r="AR23" s="92"/>
      <c r="AS23" s="92"/>
      <c r="AT23" s="3042">
        <f>面积表!J19+面积表!P19</f>
        <v>0</v>
      </c>
      <c r="AU23" s="94"/>
      <c r="AV23" s="1976">
        <f t="shared" si="37"/>
        <v>0</v>
      </c>
      <c r="AW23" s="1976">
        <f t="shared" si="38"/>
        <v>0</v>
      </c>
      <c r="AX23" s="1976" t="str">
        <f t="shared" si="39"/>
        <v>1-11#住宅楼</v>
      </c>
      <c r="AY23" s="95">
        <f t="shared" si="40"/>
        <v>1111.01</v>
      </c>
      <c r="AZ23" s="87">
        <f t="shared" si="41"/>
        <v>3255.17</v>
      </c>
      <c r="BA23" s="87">
        <f t="shared" si="42"/>
        <v>2508.88</v>
      </c>
      <c r="BB23" s="87">
        <f t="shared" si="43"/>
        <v>1410.79</v>
      </c>
      <c r="BC23" s="87">
        <f t="shared" si="44"/>
        <v>0</v>
      </c>
      <c r="BD23" s="87">
        <f t="shared" si="45"/>
        <v>1098.0899999999999</v>
      </c>
      <c r="BE23" s="87">
        <f t="shared" si="46"/>
        <v>0</v>
      </c>
      <c r="BF23" s="87">
        <f t="shared" si="47"/>
        <v>0</v>
      </c>
      <c r="BG23" s="87">
        <f t="shared" si="48"/>
        <v>0</v>
      </c>
      <c r="BH23" s="87">
        <f t="shared" si="49"/>
        <v>0</v>
      </c>
      <c r="BI23" s="87">
        <f t="shared" si="50"/>
        <v>0</v>
      </c>
      <c r="BJ23" s="87">
        <f t="shared" si="51"/>
        <v>0</v>
      </c>
      <c r="BK23" s="87">
        <f t="shared" si="52"/>
        <v>0</v>
      </c>
      <c r="BL23" s="87">
        <f t="shared" si="53"/>
        <v>746.29</v>
      </c>
      <c r="BM23" s="87">
        <f t="shared" si="54"/>
        <v>0</v>
      </c>
      <c r="BN23" s="87">
        <f t="shared" si="55"/>
        <v>0</v>
      </c>
      <c r="BO23" s="87">
        <f t="shared" si="56"/>
        <v>0</v>
      </c>
      <c r="BP23" s="87">
        <f t="shared" si="57"/>
        <v>0</v>
      </c>
      <c r="BQ23" s="87">
        <f t="shared" si="58"/>
        <v>0</v>
      </c>
      <c r="BR23" s="87">
        <f t="shared" si="59"/>
        <v>746.29</v>
      </c>
      <c r="BS23" s="87">
        <f t="shared" si="60"/>
        <v>0</v>
      </c>
      <c r="BT23" s="96">
        <f t="shared" si="61"/>
        <v>0</v>
      </c>
    </row>
    <row r="24" spans="1:72" ht="13.5" customHeight="1">
      <c r="A24" s="84"/>
      <c r="B24" s="1390"/>
      <c r="C24" s="3035" t="str">
        <f>面积表!C20</f>
        <v>1-12#住宅楼</v>
      </c>
      <c r="D24" s="3036" t="s">
        <v>1675</v>
      </c>
      <c r="E24" s="87">
        <f t="shared" si="33"/>
        <v>1479.65</v>
      </c>
      <c r="F24" s="88"/>
      <c r="G24" s="89">
        <f t="shared" si="34"/>
        <v>4335.25</v>
      </c>
      <c r="H24" s="90">
        <f t="shared" si="35"/>
        <v>3342.38</v>
      </c>
      <c r="I24" s="3037">
        <f>面积表!F20</f>
        <v>1877.66</v>
      </c>
      <c r="J24" s="91"/>
      <c r="K24" s="1393"/>
      <c r="L24" s="91"/>
      <c r="M24" s="3037">
        <f>面积表!M20</f>
        <v>1464.72</v>
      </c>
      <c r="N24" s="91"/>
      <c r="O24" s="83">
        <f>面积表!N20</f>
        <v>0</v>
      </c>
      <c r="P24" s="91"/>
      <c r="Q24" s="91"/>
      <c r="R24" s="91"/>
      <c r="S24" s="91"/>
      <c r="T24" s="91"/>
      <c r="U24" s="91"/>
      <c r="V24" s="91"/>
      <c r="W24" s="91"/>
      <c r="X24" s="91"/>
      <c r="Y24" s="91"/>
      <c r="Z24" s="91"/>
      <c r="AA24" s="91"/>
      <c r="AB24" s="91"/>
      <c r="AC24" s="87">
        <f t="shared" si="36"/>
        <v>992.87</v>
      </c>
      <c r="AD24" s="3041">
        <f>面积表!H20</f>
        <v>0</v>
      </c>
      <c r="AE24" s="92"/>
      <c r="AF24" s="1394"/>
      <c r="AG24" s="92"/>
      <c r="AH24" s="3041">
        <f>面积表!I20</f>
        <v>0</v>
      </c>
      <c r="AI24" s="92"/>
      <c r="AJ24" s="92"/>
      <c r="AK24" s="92"/>
      <c r="AL24" s="3041">
        <f>面积表!K20</f>
        <v>0</v>
      </c>
      <c r="AM24" s="92"/>
      <c r="AN24" s="3041">
        <f>面积表!O20</f>
        <v>992.87</v>
      </c>
      <c r="AO24" s="92"/>
      <c r="AP24" s="92"/>
      <c r="AQ24" s="92"/>
      <c r="AR24" s="92"/>
      <c r="AS24" s="92"/>
      <c r="AT24" s="3042">
        <f>面积表!J20+面积表!P20</f>
        <v>0</v>
      </c>
      <c r="AU24" s="94"/>
      <c r="AV24" s="1976">
        <f t="shared" si="37"/>
        <v>0</v>
      </c>
      <c r="AW24" s="1976">
        <f t="shared" si="38"/>
        <v>0</v>
      </c>
      <c r="AX24" s="1976" t="str">
        <f t="shared" si="39"/>
        <v>1-12#住宅楼</v>
      </c>
      <c r="AY24" s="95">
        <f t="shared" si="40"/>
        <v>1479.65</v>
      </c>
      <c r="AZ24" s="87">
        <f t="shared" si="41"/>
        <v>4335.25</v>
      </c>
      <c r="BA24" s="87">
        <f t="shared" si="42"/>
        <v>3342.38</v>
      </c>
      <c r="BB24" s="87">
        <f t="shared" si="43"/>
        <v>1877.66</v>
      </c>
      <c r="BC24" s="87">
        <f t="shared" si="44"/>
        <v>0</v>
      </c>
      <c r="BD24" s="87">
        <f t="shared" si="45"/>
        <v>1464.72</v>
      </c>
      <c r="BE24" s="87">
        <f t="shared" si="46"/>
        <v>0</v>
      </c>
      <c r="BF24" s="87">
        <f t="shared" si="47"/>
        <v>0</v>
      </c>
      <c r="BG24" s="87">
        <f t="shared" si="48"/>
        <v>0</v>
      </c>
      <c r="BH24" s="87">
        <f t="shared" si="49"/>
        <v>0</v>
      </c>
      <c r="BI24" s="87">
        <f t="shared" si="50"/>
        <v>0</v>
      </c>
      <c r="BJ24" s="87">
        <f t="shared" si="51"/>
        <v>0</v>
      </c>
      <c r="BK24" s="87">
        <f t="shared" si="52"/>
        <v>0</v>
      </c>
      <c r="BL24" s="87">
        <f t="shared" si="53"/>
        <v>992.87</v>
      </c>
      <c r="BM24" s="87">
        <f t="shared" si="54"/>
        <v>0</v>
      </c>
      <c r="BN24" s="87">
        <f t="shared" si="55"/>
        <v>0</v>
      </c>
      <c r="BO24" s="87">
        <f t="shared" si="56"/>
        <v>0</v>
      </c>
      <c r="BP24" s="87">
        <f t="shared" si="57"/>
        <v>0</v>
      </c>
      <c r="BQ24" s="87">
        <f t="shared" si="58"/>
        <v>0</v>
      </c>
      <c r="BR24" s="87">
        <f t="shared" si="59"/>
        <v>992.87</v>
      </c>
      <c r="BS24" s="87">
        <f t="shared" si="60"/>
        <v>0</v>
      </c>
      <c r="BT24" s="96">
        <f t="shared" si="61"/>
        <v>0</v>
      </c>
    </row>
    <row r="25" spans="1:72" ht="13.5" customHeight="1">
      <c r="A25" s="84"/>
      <c r="B25" s="1390"/>
      <c r="C25" s="3035" t="str">
        <f>面积表!C21</f>
        <v>1-13#住宅楼</v>
      </c>
      <c r="D25" s="3036" t="s">
        <v>1675</v>
      </c>
      <c r="E25" s="87">
        <f t="shared" si="33"/>
        <v>2813.92</v>
      </c>
      <c r="F25" s="88"/>
      <c r="G25" s="89">
        <f t="shared" si="34"/>
        <v>8244.5299999999988</v>
      </c>
      <c r="H25" s="90">
        <f t="shared" si="35"/>
        <v>6901.82</v>
      </c>
      <c r="I25" s="3037">
        <f>面积表!F21</f>
        <v>5591.71</v>
      </c>
      <c r="J25" s="91"/>
      <c r="K25" s="1393"/>
      <c r="L25" s="91"/>
      <c r="M25" s="3037">
        <f>面积表!M21</f>
        <v>1310.1099999999999</v>
      </c>
      <c r="N25" s="91"/>
      <c r="O25" s="83">
        <f>面积表!N21</f>
        <v>0</v>
      </c>
      <c r="P25" s="91"/>
      <c r="Q25" s="91"/>
      <c r="R25" s="91"/>
      <c r="S25" s="91"/>
      <c r="T25" s="91"/>
      <c r="U25" s="91"/>
      <c r="V25" s="91"/>
      <c r="W25" s="91"/>
      <c r="X25" s="91"/>
      <c r="Y25" s="91"/>
      <c r="Z25" s="91"/>
      <c r="AA25" s="91"/>
      <c r="AB25" s="91"/>
      <c r="AC25" s="87">
        <f t="shared" si="36"/>
        <v>1342.71</v>
      </c>
      <c r="AD25" s="3041">
        <f>面积表!H21</f>
        <v>0</v>
      </c>
      <c r="AE25" s="92"/>
      <c r="AF25" s="1394"/>
      <c r="AG25" s="92"/>
      <c r="AH25" s="3041">
        <f>面积表!I21</f>
        <v>0</v>
      </c>
      <c r="AI25" s="92"/>
      <c r="AJ25" s="92"/>
      <c r="AK25" s="92"/>
      <c r="AL25" s="3041">
        <f>面积表!K21</f>
        <v>0</v>
      </c>
      <c r="AM25" s="92"/>
      <c r="AN25" s="3041">
        <f>面积表!O21</f>
        <v>1342.71</v>
      </c>
      <c r="AO25" s="92"/>
      <c r="AP25" s="92"/>
      <c r="AQ25" s="92"/>
      <c r="AR25" s="92"/>
      <c r="AS25" s="92"/>
      <c r="AT25" s="3042">
        <f>面积表!J21+面积表!P21</f>
        <v>0</v>
      </c>
      <c r="AU25" s="94"/>
      <c r="AV25" s="1976">
        <f t="shared" si="37"/>
        <v>0</v>
      </c>
      <c r="AW25" s="1976">
        <f t="shared" si="38"/>
        <v>0</v>
      </c>
      <c r="AX25" s="1976" t="str">
        <f t="shared" si="39"/>
        <v>1-13#住宅楼</v>
      </c>
      <c r="AY25" s="95">
        <f t="shared" si="40"/>
        <v>2813.92</v>
      </c>
      <c r="AZ25" s="87">
        <f t="shared" si="41"/>
        <v>8244.5299999999988</v>
      </c>
      <c r="BA25" s="87">
        <f t="shared" si="42"/>
        <v>6901.82</v>
      </c>
      <c r="BB25" s="87">
        <f t="shared" si="43"/>
        <v>5591.71</v>
      </c>
      <c r="BC25" s="87">
        <f t="shared" si="44"/>
        <v>0</v>
      </c>
      <c r="BD25" s="87">
        <f t="shared" si="45"/>
        <v>1310.1099999999999</v>
      </c>
      <c r="BE25" s="87">
        <f t="shared" si="46"/>
        <v>0</v>
      </c>
      <c r="BF25" s="87">
        <f t="shared" si="47"/>
        <v>0</v>
      </c>
      <c r="BG25" s="87">
        <f t="shared" si="48"/>
        <v>0</v>
      </c>
      <c r="BH25" s="87">
        <f t="shared" si="49"/>
        <v>0</v>
      </c>
      <c r="BI25" s="87">
        <f t="shared" si="50"/>
        <v>0</v>
      </c>
      <c r="BJ25" s="87">
        <f t="shared" si="51"/>
        <v>0</v>
      </c>
      <c r="BK25" s="87">
        <f t="shared" si="52"/>
        <v>0</v>
      </c>
      <c r="BL25" s="87">
        <f t="shared" si="53"/>
        <v>1342.71</v>
      </c>
      <c r="BM25" s="87">
        <f t="shared" si="54"/>
        <v>0</v>
      </c>
      <c r="BN25" s="87">
        <f t="shared" si="55"/>
        <v>0</v>
      </c>
      <c r="BO25" s="87">
        <f t="shared" si="56"/>
        <v>0</v>
      </c>
      <c r="BP25" s="87">
        <f t="shared" si="57"/>
        <v>0</v>
      </c>
      <c r="BQ25" s="87">
        <f t="shared" si="58"/>
        <v>0</v>
      </c>
      <c r="BR25" s="87">
        <f t="shared" si="59"/>
        <v>1342.71</v>
      </c>
      <c r="BS25" s="87">
        <f t="shared" si="60"/>
        <v>0</v>
      </c>
      <c r="BT25" s="96">
        <f t="shared" si="61"/>
        <v>0</v>
      </c>
    </row>
    <row r="26" spans="1:72" ht="13.5" customHeight="1">
      <c r="A26" s="84"/>
      <c r="B26" s="1390"/>
      <c r="C26" s="3035" t="str">
        <f>面积表!C22</f>
        <v>1-14#住宅楼</v>
      </c>
      <c r="D26" s="3036" t="s">
        <v>1675</v>
      </c>
      <c r="E26" s="87">
        <f t="shared" si="33"/>
        <v>2774.34</v>
      </c>
      <c r="F26" s="88"/>
      <c r="G26" s="89">
        <f t="shared" si="34"/>
        <v>8128.5700000000006</v>
      </c>
      <c r="H26" s="90">
        <f t="shared" si="35"/>
        <v>6750.02</v>
      </c>
      <c r="I26" s="3037">
        <f>面积表!F22</f>
        <v>5461.5</v>
      </c>
      <c r="J26" s="91"/>
      <c r="K26" s="1393"/>
      <c r="L26" s="91"/>
      <c r="M26" s="3037">
        <f>面积表!M22</f>
        <v>1288.52</v>
      </c>
      <c r="N26" s="91"/>
      <c r="O26" s="83">
        <f>面积表!N22</f>
        <v>0</v>
      </c>
      <c r="P26" s="91"/>
      <c r="Q26" s="91"/>
      <c r="R26" s="91"/>
      <c r="S26" s="91"/>
      <c r="T26" s="91"/>
      <c r="U26" s="91"/>
      <c r="V26" s="91"/>
      <c r="W26" s="91"/>
      <c r="X26" s="91"/>
      <c r="Y26" s="91"/>
      <c r="Z26" s="91"/>
      <c r="AA26" s="91"/>
      <c r="AB26" s="91"/>
      <c r="AC26" s="87">
        <f t="shared" si="36"/>
        <v>1378.55</v>
      </c>
      <c r="AD26" s="3041">
        <f>面积表!H22</f>
        <v>0</v>
      </c>
      <c r="AE26" s="92"/>
      <c r="AF26" s="1394"/>
      <c r="AG26" s="92"/>
      <c r="AH26" s="3041">
        <f>面积表!I22</f>
        <v>0</v>
      </c>
      <c r="AI26" s="92"/>
      <c r="AJ26" s="92"/>
      <c r="AK26" s="92"/>
      <c r="AL26" s="3041">
        <f>面积表!K22</f>
        <v>0</v>
      </c>
      <c r="AM26" s="92"/>
      <c r="AN26" s="3041">
        <f>面积表!O22</f>
        <v>1378.55</v>
      </c>
      <c r="AO26" s="92"/>
      <c r="AP26" s="92"/>
      <c r="AQ26" s="92"/>
      <c r="AR26" s="92"/>
      <c r="AS26" s="92"/>
      <c r="AT26" s="3042">
        <f>面积表!J22+面积表!P22</f>
        <v>0</v>
      </c>
      <c r="AU26" s="94"/>
      <c r="AV26" s="1976">
        <f t="shared" si="37"/>
        <v>0</v>
      </c>
      <c r="AW26" s="1976">
        <f t="shared" si="38"/>
        <v>0</v>
      </c>
      <c r="AX26" s="1976" t="str">
        <f t="shared" si="39"/>
        <v>1-14#住宅楼</v>
      </c>
      <c r="AY26" s="95">
        <f t="shared" si="40"/>
        <v>2774.34</v>
      </c>
      <c r="AZ26" s="87">
        <f t="shared" si="41"/>
        <v>8128.5700000000006</v>
      </c>
      <c r="BA26" s="87">
        <f t="shared" si="42"/>
        <v>6750.02</v>
      </c>
      <c r="BB26" s="87">
        <f t="shared" si="43"/>
        <v>5461.5</v>
      </c>
      <c r="BC26" s="87">
        <f t="shared" si="44"/>
        <v>0</v>
      </c>
      <c r="BD26" s="87">
        <f t="shared" si="45"/>
        <v>1288.52</v>
      </c>
      <c r="BE26" s="87">
        <f t="shared" si="46"/>
        <v>0</v>
      </c>
      <c r="BF26" s="87">
        <f t="shared" si="47"/>
        <v>0</v>
      </c>
      <c r="BG26" s="87">
        <f t="shared" si="48"/>
        <v>0</v>
      </c>
      <c r="BH26" s="87">
        <f t="shared" si="49"/>
        <v>0</v>
      </c>
      <c r="BI26" s="87">
        <f t="shared" si="50"/>
        <v>0</v>
      </c>
      <c r="BJ26" s="87">
        <f t="shared" si="51"/>
        <v>0</v>
      </c>
      <c r="BK26" s="87">
        <f t="shared" si="52"/>
        <v>0</v>
      </c>
      <c r="BL26" s="87">
        <f t="shared" si="53"/>
        <v>1378.55</v>
      </c>
      <c r="BM26" s="87">
        <f t="shared" si="54"/>
        <v>0</v>
      </c>
      <c r="BN26" s="87">
        <f t="shared" si="55"/>
        <v>0</v>
      </c>
      <c r="BO26" s="87">
        <f t="shared" si="56"/>
        <v>0</v>
      </c>
      <c r="BP26" s="87">
        <f t="shared" si="57"/>
        <v>0</v>
      </c>
      <c r="BQ26" s="87">
        <f t="shared" si="58"/>
        <v>0</v>
      </c>
      <c r="BR26" s="87">
        <f t="shared" si="59"/>
        <v>1378.55</v>
      </c>
      <c r="BS26" s="87">
        <f t="shared" si="60"/>
        <v>0</v>
      </c>
      <c r="BT26" s="96">
        <f t="shared" si="61"/>
        <v>0</v>
      </c>
    </row>
    <row r="27" spans="1:72" ht="13.5" customHeight="1">
      <c r="A27" s="84"/>
      <c r="B27" s="1390"/>
      <c r="C27" s="3035" t="str">
        <f>面积表!C23</f>
        <v>1-15#住宅楼</v>
      </c>
      <c r="D27" s="3036" t="s">
        <v>1675</v>
      </c>
      <c r="E27" s="87">
        <f t="shared" si="33"/>
        <v>2232.17</v>
      </c>
      <c r="F27" s="88"/>
      <c r="G27" s="89">
        <f t="shared" si="34"/>
        <v>6540.05</v>
      </c>
      <c r="H27" s="90">
        <f t="shared" si="35"/>
        <v>5465.08</v>
      </c>
      <c r="I27" s="3037">
        <f>面积表!F23</f>
        <v>4401.03</v>
      </c>
      <c r="J27" s="91"/>
      <c r="K27" s="1393"/>
      <c r="L27" s="91"/>
      <c r="M27" s="3037">
        <f>面积表!M23</f>
        <v>1064.05</v>
      </c>
      <c r="N27" s="91"/>
      <c r="O27" s="83">
        <f>面积表!N23</f>
        <v>0</v>
      </c>
      <c r="P27" s="91"/>
      <c r="Q27" s="91"/>
      <c r="R27" s="91"/>
      <c r="S27" s="91"/>
      <c r="T27" s="91"/>
      <c r="U27" s="91"/>
      <c r="V27" s="91"/>
      <c r="W27" s="91"/>
      <c r="X27" s="91"/>
      <c r="Y27" s="91"/>
      <c r="Z27" s="91"/>
      <c r="AA27" s="91"/>
      <c r="AB27" s="91"/>
      <c r="AC27" s="87">
        <f t="shared" si="36"/>
        <v>1074.97</v>
      </c>
      <c r="AD27" s="3041">
        <f>面积表!H23</f>
        <v>0</v>
      </c>
      <c r="AE27" s="92"/>
      <c r="AF27" s="1394"/>
      <c r="AG27" s="92"/>
      <c r="AH27" s="3041">
        <f>面积表!I23</f>
        <v>0</v>
      </c>
      <c r="AI27" s="92"/>
      <c r="AJ27" s="92"/>
      <c r="AK27" s="92"/>
      <c r="AL27" s="3041">
        <f>面积表!K23</f>
        <v>0</v>
      </c>
      <c r="AM27" s="92"/>
      <c r="AN27" s="3041">
        <f>面积表!O23</f>
        <v>1074.97</v>
      </c>
      <c r="AO27" s="92"/>
      <c r="AP27" s="92"/>
      <c r="AQ27" s="92"/>
      <c r="AR27" s="92"/>
      <c r="AS27" s="92"/>
      <c r="AT27" s="3042">
        <f>面积表!J23+面积表!P23</f>
        <v>0</v>
      </c>
      <c r="AU27" s="94"/>
      <c r="AV27" s="1976">
        <f t="shared" si="37"/>
        <v>0</v>
      </c>
      <c r="AW27" s="1976">
        <f t="shared" si="38"/>
        <v>0</v>
      </c>
      <c r="AX27" s="1976" t="str">
        <f t="shared" si="39"/>
        <v>1-15#住宅楼</v>
      </c>
      <c r="AY27" s="95">
        <f t="shared" si="40"/>
        <v>2232.17</v>
      </c>
      <c r="AZ27" s="87">
        <f t="shared" si="41"/>
        <v>6540.05</v>
      </c>
      <c r="BA27" s="87">
        <f t="shared" si="42"/>
        <v>5465.08</v>
      </c>
      <c r="BB27" s="87">
        <f t="shared" si="43"/>
        <v>4401.03</v>
      </c>
      <c r="BC27" s="87">
        <f t="shared" si="44"/>
        <v>0</v>
      </c>
      <c r="BD27" s="87">
        <f t="shared" si="45"/>
        <v>1064.05</v>
      </c>
      <c r="BE27" s="87">
        <f t="shared" si="46"/>
        <v>0</v>
      </c>
      <c r="BF27" s="87">
        <f t="shared" si="47"/>
        <v>0</v>
      </c>
      <c r="BG27" s="87">
        <f t="shared" si="48"/>
        <v>0</v>
      </c>
      <c r="BH27" s="87">
        <f t="shared" si="49"/>
        <v>0</v>
      </c>
      <c r="BI27" s="87">
        <f t="shared" si="50"/>
        <v>0</v>
      </c>
      <c r="BJ27" s="87">
        <f t="shared" si="51"/>
        <v>0</v>
      </c>
      <c r="BK27" s="87">
        <f t="shared" si="52"/>
        <v>0</v>
      </c>
      <c r="BL27" s="87">
        <f t="shared" si="53"/>
        <v>1074.97</v>
      </c>
      <c r="BM27" s="87">
        <f t="shared" si="54"/>
        <v>0</v>
      </c>
      <c r="BN27" s="87">
        <f t="shared" si="55"/>
        <v>0</v>
      </c>
      <c r="BO27" s="87">
        <f t="shared" si="56"/>
        <v>0</v>
      </c>
      <c r="BP27" s="87">
        <f t="shared" si="57"/>
        <v>0</v>
      </c>
      <c r="BQ27" s="87">
        <f t="shared" si="58"/>
        <v>0</v>
      </c>
      <c r="BR27" s="87">
        <f t="shared" si="59"/>
        <v>1074.97</v>
      </c>
      <c r="BS27" s="87">
        <f t="shared" si="60"/>
        <v>0</v>
      </c>
      <c r="BT27" s="96">
        <f t="shared" si="61"/>
        <v>0</v>
      </c>
    </row>
    <row r="28" spans="1:72" ht="13.5" customHeight="1">
      <c r="A28" s="84"/>
      <c r="B28" s="1390"/>
      <c r="C28" s="3035" t="str">
        <f>面积表!C24</f>
        <v>1-16#住宅楼</v>
      </c>
      <c r="D28" s="3036" t="s">
        <v>1675</v>
      </c>
      <c r="E28" s="87">
        <f t="shared" si="33"/>
        <v>2908.68</v>
      </c>
      <c r="F28" s="88"/>
      <c r="G28" s="89">
        <f t="shared" si="34"/>
        <v>8522.19</v>
      </c>
      <c r="H28" s="90">
        <f t="shared" si="35"/>
        <v>7226.93</v>
      </c>
      <c r="I28" s="3037">
        <f>面积表!F24</f>
        <v>5816.41</v>
      </c>
      <c r="J28" s="91"/>
      <c r="K28" s="1393"/>
      <c r="L28" s="91"/>
      <c r="M28" s="3037">
        <f>面积表!M24</f>
        <v>1410.52</v>
      </c>
      <c r="N28" s="91"/>
      <c r="O28" s="83">
        <f>面积表!N24</f>
        <v>0</v>
      </c>
      <c r="P28" s="91"/>
      <c r="Q28" s="91"/>
      <c r="R28" s="91"/>
      <c r="S28" s="91"/>
      <c r="T28" s="91"/>
      <c r="U28" s="91"/>
      <c r="V28" s="91"/>
      <c r="W28" s="91"/>
      <c r="X28" s="91"/>
      <c r="Y28" s="91"/>
      <c r="Z28" s="91"/>
      <c r="AA28" s="91"/>
      <c r="AB28" s="91"/>
      <c r="AC28" s="87">
        <f t="shared" si="36"/>
        <v>1295.26</v>
      </c>
      <c r="AD28" s="3041">
        <f>面积表!H24</f>
        <v>0</v>
      </c>
      <c r="AE28" s="92"/>
      <c r="AF28" s="1393"/>
      <c r="AG28" s="92"/>
      <c r="AH28" s="3041">
        <f>面积表!I24</f>
        <v>0</v>
      </c>
      <c r="AI28" s="92"/>
      <c r="AJ28" s="92"/>
      <c r="AK28" s="92"/>
      <c r="AL28" s="3041">
        <f>面积表!K24</f>
        <v>0</v>
      </c>
      <c r="AM28" s="92"/>
      <c r="AN28" s="3041">
        <f>面积表!O24</f>
        <v>1295.26</v>
      </c>
      <c r="AO28" s="92"/>
      <c r="AP28" s="92"/>
      <c r="AQ28" s="92"/>
      <c r="AR28" s="92"/>
      <c r="AS28" s="92"/>
      <c r="AT28" s="3042">
        <f>面积表!J24+面积表!P24</f>
        <v>0</v>
      </c>
      <c r="AU28" s="94"/>
      <c r="AV28" s="1976">
        <f t="shared" si="37"/>
        <v>0</v>
      </c>
      <c r="AW28" s="1976">
        <f t="shared" si="38"/>
        <v>0</v>
      </c>
      <c r="AX28" s="1976" t="str">
        <f t="shared" si="39"/>
        <v>1-16#住宅楼</v>
      </c>
      <c r="AY28" s="95">
        <f t="shared" si="40"/>
        <v>2908.68</v>
      </c>
      <c r="AZ28" s="87">
        <f t="shared" si="41"/>
        <v>8522.19</v>
      </c>
      <c r="BA28" s="87">
        <f t="shared" si="42"/>
        <v>7226.93</v>
      </c>
      <c r="BB28" s="87">
        <f t="shared" si="43"/>
        <v>5816.41</v>
      </c>
      <c r="BC28" s="87">
        <f t="shared" si="44"/>
        <v>0</v>
      </c>
      <c r="BD28" s="87">
        <f t="shared" si="45"/>
        <v>1410.52</v>
      </c>
      <c r="BE28" s="87">
        <f t="shared" si="46"/>
        <v>0</v>
      </c>
      <c r="BF28" s="87">
        <f t="shared" si="47"/>
        <v>0</v>
      </c>
      <c r="BG28" s="87">
        <f t="shared" si="48"/>
        <v>0</v>
      </c>
      <c r="BH28" s="87">
        <f t="shared" si="49"/>
        <v>0</v>
      </c>
      <c r="BI28" s="87">
        <f t="shared" si="50"/>
        <v>0</v>
      </c>
      <c r="BJ28" s="87">
        <f t="shared" si="51"/>
        <v>0</v>
      </c>
      <c r="BK28" s="87">
        <f t="shared" si="52"/>
        <v>0</v>
      </c>
      <c r="BL28" s="87">
        <f t="shared" si="53"/>
        <v>1295.26</v>
      </c>
      <c r="BM28" s="87">
        <f t="shared" si="54"/>
        <v>0</v>
      </c>
      <c r="BN28" s="87">
        <f t="shared" si="55"/>
        <v>0</v>
      </c>
      <c r="BO28" s="87">
        <f t="shared" si="56"/>
        <v>0</v>
      </c>
      <c r="BP28" s="87">
        <f t="shared" si="57"/>
        <v>0</v>
      </c>
      <c r="BQ28" s="87">
        <f t="shared" si="58"/>
        <v>0</v>
      </c>
      <c r="BR28" s="87">
        <f t="shared" si="59"/>
        <v>1295.26</v>
      </c>
      <c r="BS28" s="87">
        <f t="shared" si="60"/>
        <v>0</v>
      </c>
      <c r="BT28" s="96">
        <f t="shared" si="61"/>
        <v>0</v>
      </c>
    </row>
    <row r="29" spans="1:72" ht="13.5" customHeight="1">
      <c r="A29" s="84"/>
      <c r="B29" s="1392"/>
      <c r="C29" s="3035" t="str">
        <f>面积表!C25</f>
        <v>1-17#住宅楼</v>
      </c>
      <c r="D29" s="3036" t="s">
        <v>1675</v>
      </c>
      <c r="E29" s="87">
        <f t="shared" si="33"/>
        <v>1479.65</v>
      </c>
      <c r="F29" s="88"/>
      <c r="G29" s="89">
        <f t="shared" si="34"/>
        <v>4335.25</v>
      </c>
      <c r="H29" s="90">
        <f t="shared" si="35"/>
        <v>3342.38</v>
      </c>
      <c r="I29" s="3037">
        <f>面积表!F25</f>
        <v>1877.66</v>
      </c>
      <c r="J29" s="91"/>
      <c r="K29" s="1393"/>
      <c r="L29" s="91"/>
      <c r="M29" s="3037">
        <f>面积表!M25</f>
        <v>1464.72</v>
      </c>
      <c r="N29" s="91"/>
      <c r="O29" s="83">
        <f>面积表!N25</f>
        <v>0</v>
      </c>
      <c r="P29" s="91"/>
      <c r="Q29" s="91"/>
      <c r="R29" s="91"/>
      <c r="S29" s="91"/>
      <c r="T29" s="91"/>
      <c r="U29" s="91"/>
      <c r="V29" s="91"/>
      <c r="W29" s="91"/>
      <c r="X29" s="91"/>
      <c r="Y29" s="91"/>
      <c r="Z29" s="91"/>
      <c r="AA29" s="91"/>
      <c r="AB29" s="91"/>
      <c r="AC29" s="87">
        <f t="shared" si="36"/>
        <v>992.87</v>
      </c>
      <c r="AD29" s="3041">
        <f>面积表!H25</f>
        <v>0</v>
      </c>
      <c r="AE29" s="92"/>
      <c r="AF29" s="1393"/>
      <c r="AG29" s="92"/>
      <c r="AH29" s="3041">
        <f>面积表!I25</f>
        <v>0</v>
      </c>
      <c r="AI29" s="92"/>
      <c r="AJ29" s="92"/>
      <c r="AK29" s="92"/>
      <c r="AL29" s="3041">
        <f>面积表!K25</f>
        <v>0</v>
      </c>
      <c r="AM29" s="92"/>
      <c r="AN29" s="3041">
        <f>面积表!O25</f>
        <v>992.87</v>
      </c>
      <c r="AO29" s="92"/>
      <c r="AP29" s="92"/>
      <c r="AQ29" s="92"/>
      <c r="AR29" s="92"/>
      <c r="AS29" s="92"/>
      <c r="AT29" s="3042">
        <f>面积表!J25+面积表!P25</f>
        <v>0</v>
      </c>
      <c r="AU29" s="94"/>
      <c r="AV29" s="1976">
        <f t="shared" si="37"/>
        <v>0</v>
      </c>
      <c r="AW29" s="1976">
        <f t="shared" si="38"/>
        <v>0</v>
      </c>
      <c r="AX29" s="1976" t="str">
        <f t="shared" si="39"/>
        <v>1-17#住宅楼</v>
      </c>
      <c r="AY29" s="95">
        <f t="shared" si="40"/>
        <v>1479.65</v>
      </c>
      <c r="AZ29" s="87">
        <f t="shared" si="41"/>
        <v>4335.25</v>
      </c>
      <c r="BA29" s="87">
        <f t="shared" si="42"/>
        <v>3342.38</v>
      </c>
      <c r="BB29" s="87">
        <f t="shared" si="43"/>
        <v>1877.66</v>
      </c>
      <c r="BC29" s="87">
        <f t="shared" si="44"/>
        <v>0</v>
      </c>
      <c r="BD29" s="87">
        <f t="shared" si="45"/>
        <v>1464.72</v>
      </c>
      <c r="BE29" s="87">
        <f t="shared" si="46"/>
        <v>0</v>
      </c>
      <c r="BF29" s="87">
        <f t="shared" si="47"/>
        <v>0</v>
      </c>
      <c r="BG29" s="87">
        <f t="shared" si="48"/>
        <v>0</v>
      </c>
      <c r="BH29" s="87">
        <f t="shared" si="49"/>
        <v>0</v>
      </c>
      <c r="BI29" s="87">
        <f t="shared" si="50"/>
        <v>0</v>
      </c>
      <c r="BJ29" s="87">
        <f t="shared" si="51"/>
        <v>0</v>
      </c>
      <c r="BK29" s="87">
        <f t="shared" si="52"/>
        <v>0</v>
      </c>
      <c r="BL29" s="87">
        <f t="shared" si="53"/>
        <v>992.87</v>
      </c>
      <c r="BM29" s="87">
        <f t="shared" si="54"/>
        <v>0</v>
      </c>
      <c r="BN29" s="87">
        <f t="shared" si="55"/>
        <v>0</v>
      </c>
      <c r="BO29" s="87">
        <f t="shared" si="56"/>
        <v>0</v>
      </c>
      <c r="BP29" s="87">
        <f t="shared" si="57"/>
        <v>0</v>
      </c>
      <c r="BQ29" s="87">
        <f t="shared" si="58"/>
        <v>0</v>
      </c>
      <c r="BR29" s="87">
        <f t="shared" si="59"/>
        <v>992.87</v>
      </c>
      <c r="BS29" s="87">
        <f t="shared" si="60"/>
        <v>0</v>
      </c>
      <c r="BT29" s="96">
        <f t="shared" si="61"/>
        <v>0</v>
      </c>
    </row>
    <row r="30" spans="1:72" ht="13.5" customHeight="1">
      <c r="A30" s="84"/>
      <c r="B30" s="1390"/>
      <c r="C30" s="3035" t="str">
        <f>面积表!C26</f>
        <v>1-18#住宅楼</v>
      </c>
      <c r="D30" s="3036" t="s">
        <v>1675</v>
      </c>
      <c r="E30" s="87">
        <f t="shared" si="33"/>
        <v>1111.01</v>
      </c>
      <c r="F30" s="88"/>
      <c r="G30" s="89">
        <f t="shared" si="34"/>
        <v>3255.17</v>
      </c>
      <c r="H30" s="90">
        <f t="shared" si="35"/>
        <v>2508.88</v>
      </c>
      <c r="I30" s="3037">
        <f>面积表!F26</f>
        <v>1410.79</v>
      </c>
      <c r="J30" s="91"/>
      <c r="K30" s="1393"/>
      <c r="L30" s="91"/>
      <c r="M30" s="3037">
        <f>面积表!M26</f>
        <v>1098.0899999999999</v>
      </c>
      <c r="N30" s="91"/>
      <c r="O30" s="83">
        <f>面积表!N26</f>
        <v>0</v>
      </c>
      <c r="P30" s="91"/>
      <c r="Q30" s="91"/>
      <c r="R30" s="91"/>
      <c r="S30" s="91"/>
      <c r="T30" s="91"/>
      <c r="U30" s="91"/>
      <c r="V30" s="91"/>
      <c r="W30" s="91"/>
      <c r="X30" s="91"/>
      <c r="Y30" s="91"/>
      <c r="Z30" s="91"/>
      <c r="AA30" s="91"/>
      <c r="AB30" s="91"/>
      <c r="AC30" s="87">
        <f t="shared" si="36"/>
        <v>746.29</v>
      </c>
      <c r="AD30" s="3041">
        <f>面积表!H26</f>
        <v>0</v>
      </c>
      <c r="AE30" s="92"/>
      <c r="AF30" s="1393"/>
      <c r="AG30" s="92"/>
      <c r="AH30" s="3041">
        <f>面积表!I26</f>
        <v>0</v>
      </c>
      <c r="AI30" s="92"/>
      <c r="AJ30" s="92"/>
      <c r="AK30" s="92"/>
      <c r="AL30" s="3041">
        <f>面积表!K26</f>
        <v>0</v>
      </c>
      <c r="AM30" s="92"/>
      <c r="AN30" s="3041">
        <f>面积表!O26</f>
        <v>746.29</v>
      </c>
      <c r="AO30" s="92"/>
      <c r="AP30" s="92"/>
      <c r="AQ30" s="92"/>
      <c r="AR30" s="92"/>
      <c r="AS30" s="92"/>
      <c r="AT30" s="3042">
        <f>面积表!J26+面积表!P26</f>
        <v>0</v>
      </c>
      <c r="AU30" s="94"/>
      <c r="AV30" s="1976">
        <f t="shared" si="37"/>
        <v>0</v>
      </c>
      <c r="AW30" s="1976">
        <f t="shared" si="38"/>
        <v>0</v>
      </c>
      <c r="AX30" s="1976" t="str">
        <f t="shared" si="39"/>
        <v>1-18#住宅楼</v>
      </c>
      <c r="AY30" s="95">
        <f t="shared" si="40"/>
        <v>1111.01</v>
      </c>
      <c r="AZ30" s="87">
        <f t="shared" si="41"/>
        <v>3255.17</v>
      </c>
      <c r="BA30" s="87">
        <f t="shared" si="42"/>
        <v>2508.88</v>
      </c>
      <c r="BB30" s="87">
        <f t="shared" si="43"/>
        <v>1410.79</v>
      </c>
      <c r="BC30" s="87">
        <f t="shared" si="44"/>
        <v>0</v>
      </c>
      <c r="BD30" s="87">
        <f t="shared" si="45"/>
        <v>1098.0899999999999</v>
      </c>
      <c r="BE30" s="87">
        <f t="shared" si="46"/>
        <v>0</v>
      </c>
      <c r="BF30" s="87">
        <f t="shared" si="47"/>
        <v>0</v>
      </c>
      <c r="BG30" s="87">
        <f t="shared" si="48"/>
        <v>0</v>
      </c>
      <c r="BH30" s="87">
        <f t="shared" si="49"/>
        <v>0</v>
      </c>
      <c r="BI30" s="87">
        <f t="shared" si="50"/>
        <v>0</v>
      </c>
      <c r="BJ30" s="87">
        <f t="shared" si="51"/>
        <v>0</v>
      </c>
      <c r="BK30" s="87">
        <f t="shared" si="52"/>
        <v>0</v>
      </c>
      <c r="BL30" s="87">
        <f t="shared" si="53"/>
        <v>746.29</v>
      </c>
      <c r="BM30" s="87">
        <f t="shared" si="54"/>
        <v>0</v>
      </c>
      <c r="BN30" s="87">
        <f t="shared" si="55"/>
        <v>0</v>
      </c>
      <c r="BO30" s="87">
        <f t="shared" si="56"/>
        <v>0</v>
      </c>
      <c r="BP30" s="87">
        <f t="shared" si="57"/>
        <v>0</v>
      </c>
      <c r="BQ30" s="87">
        <f t="shared" si="58"/>
        <v>0</v>
      </c>
      <c r="BR30" s="87">
        <f t="shared" si="59"/>
        <v>746.29</v>
      </c>
      <c r="BS30" s="87">
        <f t="shared" si="60"/>
        <v>0</v>
      </c>
      <c r="BT30" s="96">
        <f t="shared" si="61"/>
        <v>0</v>
      </c>
    </row>
    <row r="31" spans="1:72" ht="13.5" customHeight="1">
      <c r="A31" s="84"/>
      <c r="B31" s="1390"/>
      <c r="C31" s="3035" t="str">
        <f>面积表!C27</f>
        <v>1-19#住宅楼</v>
      </c>
      <c r="D31" s="3036" t="s">
        <v>1675</v>
      </c>
      <c r="E31" s="87">
        <f t="shared" si="33"/>
        <v>1111.01</v>
      </c>
      <c r="F31" s="88"/>
      <c r="G31" s="89">
        <f t="shared" si="34"/>
        <v>3255.17</v>
      </c>
      <c r="H31" s="90">
        <f t="shared" si="35"/>
        <v>2508.88</v>
      </c>
      <c r="I31" s="3037">
        <f>面积表!F27</f>
        <v>1410.79</v>
      </c>
      <c r="J31" s="91"/>
      <c r="K31" s="1393"/>
      <c r="L31" s="91"/>
      <c r="M31" s="3037">
        <f>面积表!M27</f>
        <v>1098.0899999999999</v>
      </c>
      <c r="N31" s="91"/>
      <c r="O31" s="83">
        <f>面积表!N27</f>
        <v>0</v>
      </c>
      <c r="P31" s="91"/>
      <c r="Q31" s="91"/>
      <c r="R31" s="91"/>
      <c r="S31" s="91"/>
      <c r="T31" s="91"/>
      <c r="U31" s="91"/>
      <c r="V31" s="91"/>
      <c r="W31" s="91"/>
      <c r="X31" s="91"/>
      <c r="Y31" s="91"/>
      <c r="Z31" s="91"/>
      <c r="AA31" s="91"/>
      <c r="AB31" s="91"/>
      <c r="AC31" s="87">
        <f t="shared" si="36"/>
        <v>746.29</v>
      </c>
      <c r="AD31" s="3041">
        <f>面积表!H27</f>
        <v>0</v>
      </c>
      <c r="AE31" s="92"/>
      <c r="AF31" s="1393"/>
      <c r="AG31" s="92"/>
      <c r="AH31" s="3041">
        <f>面积表!I27</f>
        <v>0</v>
      </c>
      <c r="AI31" s="92"/>
      <c r="AJ31" s="92"/>
      <c r="AK31" s="92"/>
      <c r="AL31" s="3041">
        <f>面积表!K27</f>
        <v>0</v>
      </c>
      <c r="AM31" s="92"/>
      <c r="AN31" s="3041">
        <f>面积表!O27</f>
        <v>746.29</v>
      </c>
      <c r="AO31" s="92"/>
      <c r="AP31" s="92"/>
      <c r="AQ31" s="92"/>
      <c r="AR31" s="92"/>
      <c r="AS31" s="92"/>
      <c r="AT31" s="3042">
        <f>面积表!J27+面积表!P27</f>
        <v>0</v>
      </c>
      <c r="AU31" s="94"/>
      <c r="AV31" s="1976">
        <f t="shared" si="37"/>
        <v>0</v>
      </c>
      <c r="AW31" s="1976">
        <f t="shared" si="38"/>
        <v>0</v>
      </c>
      <c r="AX31" s="1976" t="str">
        <f t="shared" si="39"/>
        <v>1-19#住宅楼</v>
      </c>
      <c r="AY31" s="95">
        <f t="shared" si="40"/>
        <v>1111.01</v>
      </c>
      <c r="AZ31" s="87">
        <f t="shared" si="41"/>
        <v>3255.17</v>
      </c>
      <c r="BA31" s="87">
        <f t="shared" si="42"/>
        <v>2508.88</v>
      </c>
      <c r="BB31" s="87">
        <f t="shared" si="43"/>
        <v>1410.79</v>
      </c>
      <c r="BC31" s="87">
        <f t="shared" si="44"/>
        <v>0</v>
      </c>
      <c r="BD31" s="87">
        <f t="shared" si="45"/>
        <v>1098.0899999999999</v>
      </c>
      <c r="BE31" s="87">
        <f t="shared" si="46"/>
        <v>0</v>
      </c>
      <c r="BF31" s="87">
        <f t="shared" si="47"/>
        <v>0</v>
      </c>
      <c r="BG31" s="87">
        <f t="shared" si="48"/>
        <v>0</v>
      </c>
      <c r="BH31" s="87">
        <f t="shared" si="49"/>
        <v>0</v>
      </c>
      <c r="BI31" s="87">
        <f t="shared" si="50"/>
        <v>0</v>
      </c>
      <c r="BJ31" s="87">
        <f t="shared" si="51"/>
        <v>0</v>
      </c>
      <c r="BK31" s="87">
        <f t="shared" si="52"/>
        <v>0</v>
      </c>
      <c r="BL31" s="87">
        <f t="shared" si="53"/>
        <v>746.29</v>
      </c>
      <c r="BM31" s="87">
        <f t="shared" si="54"/>
        <v>0</v>
      </c>
      <c r="BN31" s="87">
        <f t="shared" si="55"/>
        <v>0</v>
      </c>
      <c r="BO31" s="87">
        <f t="shared" si="56"/>
        <v>0</v>
      </c>
      <c r="BP31" s="87">
        <f t="shared" si="57"/>
        <v>0</v>
      </c>
      <c r="BQ31" s="87">
        <f t="shared" si="58"/>
        <v>0</v>
      </c>
      <c r="BR31" s="87">
        <f t="shared" si="59"/>
        <v>746.29</v>
      </c>
      <c r="BS31" s="87">
        <f t="shared" si="60"/>
        <v>0</v>
      </c>
      <c r="BT31" s="96">
        <f t="shared" si="61"/>
        <v>0</v>
      </c>
    </row>
    <row r="32" spans="1:72" ht="13.5" customHeight="1">
      <c r="A32" s="84"/>
      <c r="B32" s="1390"/>
      <c r="C32" s="3035" t="str">
        <f>面积表!C28</f>
        <v>1-20#住宅楼</v>
      </c>
      <c r="D32" s="3036" t="s">
        <v>1675</v>
      </c>
      <c r="E32" s="87">
        <f t="shared" si="33"/>
        <v>1479.65</v>
      </c>
      <c r="F32" s="88"/>
      <c r="G32" s="89">
        <f t="shared" si="34"/>
        <v>4335.25</v>
      </c>
      <c r="H32" s="90">
        <f t="shared" si="35"/>
        <v>3342.38</v>
      </c>
      <c r="I32" s="3037">
        <f>面积表!F28</f>
        <v>1877.66</v>
      </c>
      <c r="J32" s="91"/>
      <c r="K32" s="1393"/>
      <c r="L32" s="91"/>
      <c r="M32" s="3037">
        <f>面积表!M28</f>
        <v>1464.72</v>
      </c>
      <c r="N32" s="91"/>
      <c r="O32" s="83">
        <f>面积表!N28</f>
        <v>0</v>
      </c>
      <c r="P32" s="91"/>
      <c r="Q32" s="91"/>
      <c r="R32" s="91"/>
      <c r="S32" s="91"/>
      <c r="T32" s="91"/>
      <c r="U32" s="91"/>
      <c r="V32" s="91"/>
      <c r="W32" s="91"/>
      <c r="X32" s="91"/>
      <c r="Y32" s="91"/>
      <c r="Z32" s="91"/>
      <c r="AA32" s="91"/>
      <c r="AB32" s="91"/>
      <c r="AC32" s="87">
        <f t="shared" si="36"/>
        <v>992.87</v>
      </c>
      <c r="AD32" s="3041">
        <f>面积表!H28</f>
        <v>0</v>
      </c>
      <c r="AE32" s="92"/>
      <c r="AF32" s="1393"/>
      <c r="AG32" s="92"/>
      <c r="AH32" s="3041">
        <f>面积表!I28</f>
        <v>0</v>
      </c>
      <c r="AI32" s="92"/>
      <c r="AJ32" s="92"/>
      <c r="AK32" s="92"/>
      <c r="AL32" s="3041">
        <f>面积表!K28</f>
        <v>0</v>
      </c>
      <c r="AM32" s="92"/>
      <c r="AN32" s="3041">
        <f>面积表!O28</f>
        <v>992.87</v>
      </c>
      <c r="AO32" s="92"/>
      <c r="AP32" s="92"/>
      <c r="AQ32" s="92"/>
      <c r="AR32" s="92"/>
      <c r="AS32" s="92"/>
      <c r="AT32" s="3042">
        <f>面积表!J28+面积表!P28</f>
        <v>0</v>
      </c>
      <c r="AU32" s="94"/>
      <c r="AV32" s="1976">
        <f t="shared" si="37"/>
        <v>0</v>
      </c>
      <c r="AW32" s="1976">
        <f t="shared" si="38"/>
        <v>0</v>
      </c>
      <c r="AX32" s="1976" t="str">
        <f t="shared" si="39"/>
        <v>1-20#住宅楼</v>
      </c>
      <c r="AY32" s="95">
        <f t="shared" si="40"/>
        <v>1479.65</v>
      </c>
      <c r="AZ32" s="87">
        <f t="shared" si="41"/>
        <v>4335.25</v>
      </c>
      <c r="BA32" s="87">
        <f t="shared" si="42"/>
        <v>3342.38</v>
      </c>
      <c r="BB32" s="87">
        <f t="shared" si="43"/>
        <v>1877.66</v>
      </c>
      <c r="BC32" s="87">
        <f t="shared" si="44"/>
        <v>0</v>
      </c>
      <c r="BD32" s="87">
        <f t="shared" si="45"/>
        <v>1464.72</v>
      </c>
      <c r="BE32" s="87">
        <f t="shared" si="46"/>
        <v>0</v>
      </c>
      <c r="BF32" s="87">
        <f t="shared" si="47"/>
        <v>0</v>
      </c>
      <c r="BG32" s="87">
        <f t="shared" si="48"/>
        <v>0</v>
      </c>
      <c r="BH32" s="87">
        <f t="shared" si="49"/>
        <v>0</v>
      </c>
      <c r="BI32" s="87">
        <f t="shared" si="50"/>
        <v>0</v>
      </c>
      <c r="BJ32" s="87">
        <f t="shared" si="51"/>
        <v>0</v>
      </c>
      <c r="BK32" s="87">
        <f t="shared" si="52"/>
        <v>0</v>
      </c>
      <c r="BL32" s="87">
        <f t="shared" si="53"/>
        <v>992.87</v>
      </c>
      <c r="BM32" s="87">
        <f t="shared" si="54"/>
        <v>0</v>
      </c>
      <c r="BN32" s="87">
        <f t="shared" si="55"/>
        <v>0</v>
      </c>
      <c r="BO32" s="87">
        <f t="shared" si="56"/>
        <v>0</v>
      </c>
      <c r="BP32" s="87">
        <f t="shared" si="57"/>
        <v>0</v>
      </c>
      <c r="BQ32" s="87">
        <f t="shared" si="58"/>
        <v>0</v>
      </c>
      <c r="BR32" s="87">
        <f t="shared" si="59"/>
        <v>992.87</v>
      </c>
      <c r="BS32" s="87">
        <f t="shared" si="60"/>
        <v>0</v>
      </c>
      <c r="BT32" s="96">
        <f t="shared" si="61"/>
        <v>0</v>
      </c>
    </row>
    <row r="33" spans="1:72" ht="13.5" customHeight="1">
      <c r="A33" s="84"/>
      <c r="B33" s="1390"/>
      <c r="C33" s="3035" t="str">
        <f>面积表!C29</f>
        <v>1-21#住宅楼</v>
      </c>
      <c r="D33" s="3036" t="s">
        <v>1675</v>
      </c>
      <c r="E33" s="87">
        <f t="shared" si="33"/>
        <v>1702.34</v>
      </c>
      <c r="F33" s="88"/>
      <c r="G33" s="89">
        <f t="shared" si="34"/>
        <v>4987.7100000000009</v>
      </c>
      <c r="H33" s="90">
        <f t="shared" si="35"/>
        <v>4178.7700000000004</v>
      </c>
      <c r="I33" s="3037">
        <f>面积表!F29</f>
        <v>3352.58</v>
      </c>
      <c r="J33" s="91"/>
      <c r="K33" s="1393"/>
      <c r="L33" s="91"/>
      <c r="M33" s="3037">
        <f>面积表!M29</f>
        <v>826.19</v>
      </c>
      <c r="N33" s="91"/>
      <c r="O33" s="83">
        <f>面积表!N29</f>
        <v>0</v>
      </c>
      <c r="P33" s="91"/>
      <c r="Q33" s="91"/>
      <c r="R33" s="91"/>
      <c r="S33" s="91"/>
      <c r="T33" s="91"/>
      <c r="U33" s="91"/>
      <c r="V33" s="91"/>
      <c r="W33" s="91"/>
      <c r="X33" s="91"/>
      <c r="Y33" s="91"/>
      <c r="Z33" s="91"/>
      <c r="AA33" s="91"/>
      <c r="AB33" s="91"/>
      <c r="AC33" s="87">
        <f t="shared" si="36"/>
        <v>808.94</v>
      </c>
      <c r="AD33" s="3041">
        <f>面积表!H29</f>
        <v>0</v>
      </c>
      <c r="AE33" s="92"/>
      <c r="AF33" s="1393"/>
      <c r="AG33" s="92"/>
      <c r="AH33" s="3041">
        <f>面积表!I29</f>
        <v>0</v>
      </c>
      <c r="AI33" s="92"/>
      <c r="AJ33" s="92"/>
      <c r="AK33" s="92"/>
      <c r="AL33" s="3041">
        <f>面积表!K29</f>
        <v>0</v>
      </c>
      <c r="AM33" s="92"/>
      <c r="AN33" s="3041">
        <f>面积表!O29</f>
        <v>808.94</v>
      </c>
      <c r="AO33" s="92"/>
      <c r="AP33" s="92"/>
      <c r="AQ33" s="92"/>
      <c r="AR33" s="92"/>
      <c r="AS33" s="92"/>
      <c r="AT33" s="3042">
        <f>面积表!J29+面积表!P29</f>
        <v>0</v>
      </c>
      <c r="AU33" s="94"/>
      <c r="AV33" s="1976">
        <f t="shared" si="37"/>
        <v>0</v>
      </c>
      <c r="AW33" s="1976">
        <f t="shared" si="38"/>
        <v>0</v>
      </c>
      <c r="AX33" s="1976" t="str">
        <f t="shared" si="39"/>
        <v>1-21#住宅楼</v>
      </c>
      <c r="AY33" s="95">
        <f t="shared" si="40"/>
        <v>1702.34</v>
      </c>
      <c r="AZ33" s="87">
        <f t="shared" si="41"/>
        <v>4987.7100000000009</v>
      </c>
      <c r="BA33" s="87">
        <f t="shared" si="42"/>
        <v>4178.7700000000004</v>
      </c>
      <c r="BB33" s="87">
        <f t="shared" si="43"/>
        <v>3352.58</v>
      </c>
      <c r="BC33" s="87">
        <f t="shared" si="44"/>
        <v>0</v>
      </c>
      <c r="BD33" s="87">
        <f t="shared" si="45"/>
        <v>826.19</v>
      </c>
      <c r="BE33" s="87">
        <f t="shared" si="46"/>
        <v>0</v>
      </c>
      <c r="BF33" s="87">
        <f t="shared" si="47"/>
        <v>0</v>
      </c>
      <c r="BG33" s="87">
        <f t="shared" si="48"/>
        <v>0</v>
      </c>
      <c r="BH33" s="87">
        <f t="shared" si="49"/>
        <v>0</v>
      </c>
      <c r="BI33" s="87">
        <f t="shared" si="50"/>
        <v>0</v>
      </c>
      <c r="BJ33" s="87">
        <f t="shared" si="51"/>
        <v>0</v>
      </c>
      <c r="BK33" s="87">
        <f t="shared" si="52"/>
        <v>0</v>
      </c>
      <c r="BL33" s="87">
        <f t="shared" si="53"/>
        <v>808.94</v>
      </c>
      <c r="BM33" s="87">
        <f t="shared" si="54"/>
        <v>0</v>
      </c>
      <c r="BN33" s="87">
        <f t="shared" si="55"/>
        <v>0</v>
      </c>
      <c r="BO33" s="87">
        <f t="shared" si="56"/>
        <v>0</v>
      </c>
      <c r="BP33" s="87">
        <f t="shared" si="57"/>
        <v>0</v>
      </c>
      <c r="BQ33" s="87">
        <f t="shared" si="58"/>
        <v>0</v>
      </c>
      <c r="BR33" s="87">
        <f t="shared" si="59"/>
        <v>808.94</v>
      </c>
      <c r="BS33" s="87">
        <f t="shared" si="60"/>
        <v>0</v>
      </c>
      <c r="BT33" s="96">
        <f t="shared" si="61"/>
        <v>0</v>
      </c>
    </row>
    <row r="34" spans="1:72" ht="13.5" customHeight="1">
      <c r="A34" s="84"/>
      <c r="B34" s="1390"/>
      <c r="C34" s="3035" t="str">
        <f>面积表!C30</f>
        <v>1-22#住宅楼</v>
      </c>
      <c r="D34" s="3036" t="s">
        <v>1675</v>
      </c>
      <c r="E34" s="87">
        <f t="shared" si="33"/>
        <v>2926.03</v>
      </c>
      <c r="F34" s="88"/>
      <c r="G34" s="89">
        <f t="shared" si="34"/>
        <v>8573</v>
      </c>
      <c r="H34" s="90">
        <f t="shared" si="35"/>
        <v>7267.67</v>
      </c>
      <c r="I34" s="3037">
        <f>面积表!F30</f>
        <v>5857.15</v>
      </c>
      <c r="J34" s="91"/>
      <c r="K34" s="1393"/>
      <c r="L34" s="91"/>
      <c r="M34" s="3037">
        <f>面积表!M30</f>
        <v>1410.52</v>
      </c>
      <c r="N34" s="91"/>
      <c r="O34" s="83">
        <f>面积表!N30</f>
        <v>0</v>
      </c>
      <c r="P34" s="91"/>
      <c r="Q34" s="91"/>
      <c r="R34" s="91"/>
      <c r="S34" s="91"/>
      <c r="T34" s="91"/>
      <c r="U34" s="91"/>
      <c r="V34" s="91"/>
      <c r="W34" s="91"/>
      <c r="X34" s="91"/>
      <c r="Y34" s="91"/>
      <c r="Z34" s="91"/>
      <c r="AA34" s="91"/>
      <c r="AB34" s="91"/>
      <c r="AC34" s="87">
        <f t="shared" si="36"/>
        <v>1305.33</v>
      </c>
      <c r="AD34" s="3041">
        <f>面积表!H30</f>
        <v>0</v>
      </c>
      <c r="AE34" s="92"/>
      <c r="AF34" s="1393"/>
      <c r="AG34" s="92"/>
      <c r="AH34" s="3041">
        <f>面积表!I30</f>
        <v>0</v>
      </c>
      <c r="AI34" s="92"/>
      <c r="AJ34" s="92"/>
      <c r="AK34" s="92"/>
      <c r="AL34" s="3041">
        <f>面积表!K30</f>
        <v>0</v>
      </c>
      <c r="AM34" s="92"/>
      <c r="AN34" s="3041">
        <f>面积表!O30</f>
        <v>1305.33</v>
      </c>
      <c r="AO34" s="92"/>
      <c r="AP34" s="92"/>
      <c r="AQ34" s="92"/>
      <c r="AR34" s="92"/>
      <c r="AS34" s="92"/>
      <c r="AT34" s="3042">
        <f>面积表!J30+面积表!P30</f>
        <v>0</v>
      </c>
      <c r="AU34" s="94"/>
      <c r="AV34" s="1976">
        <f t="shared" si="37"/>
        <v>0</v>
      </c>
      <c r="AW34" s="1976">
        <f t="shared" si="38"/>
        <v>0</v>
      </c>
      <c r="AX34" s="1976" t="str">
        <f t="shared" si="39"/>
        <v>1-22#住宅楼</v>
      </c>
      <c r="AY34" s="95">
        <f t="shared" si="40"/>
        <v>2926.03</v>
      </c>
      <c r="AZ34" s="87">
        <f t="shared" si="41"/>
        <v>8573</v>
      </c>
      <c r="BA34" s="87">
        <f t="shared" si="42"/>
        <v>7267.67</v>
      </c>
      <c r="BB34" s="87">
        <f t="shared" si="43"/>
        <v>5857.15</v>
      </c>
      <c r="BC34" s="87">
        <f t="shared" si="44"/>
        <v>0</v>
      </c>
      <c r="BD34" s="87">
        <f t="shared" si="45"/>
        <v>1410.52</v>
      </c>
      <c r="BE34" s="87">
        <f t="shared" si="46"/>
        <v>0</v>
      </c>
      <c r="BF34" s="87">
        <f t="shared" si="47"/>
        <v>0</v>
      </c>
      <c r="BG34" s="87">
        <f t="shared" si="48"/>
        <v>0</v>
      </c>
      <c r="BH34" s="87">
        <f t="shared" si="49"/>
        <v>0</v>
      </c>
      <c r="BI34" s="87">
        <f t="shared" si="50"/>
        <v>0</v>
      </c>
      <c r="BJ34" s="87">
        <f t="shared" si="51"/>
        <v>0</v>
      </c>
      <c r="BK34" s="87">
        <f t="shared" si="52"/>
        <v>0</v>
      </c>
      <c r="BL34" s="87">
        <f t="shared" si="53"/>
        <v>1305.33</v>
      </c>
      <c r="BM34" s="87">
        <f t="shared" si="54"/>
        <v>0</v>
      </c>
      <c r="BN34" s="87">
        <f t="shared" si="55"/>
        <v>0</v>
      </c>
      <c r="BO34" s="87">
        <f t="shared" si="56"/>
        <v>0</v>
      </c>
      <c r="BP34" s="87">
        <f t="shared" si="57"/>
        <v>0</v>
      </c>
      <c r="BQ34" s="87">
        <f t="shared" si="58"/>
        <v>0</v>
      </c>
      <c r="BR34" s="87">
        <f t="shared" si="59"/>
        <v>1305.33</v>
      </c>
      <c r="BS34" s="87">
        <f t="shared" si="60"/>
        <v>0</v>
      </c>
      <c r="BT34" s="96">
        <f t="shared" si="61"/>
        <v>0</v>
      </c>
    </row>
    <row r="35" spans="1:72" ht="13.5" customHeight="1">
      <c r="A35" s="84"/>
      <c r="B35" s="1390"/>
      <c r="C35" s="3035" t="str">
        <f>面积表!C31</f>
        <v>1-23#住宅楼</v>
      </c>
      <c r="D35" s="3036" t="s">
        <v>1675</v>
      </c>
      <c r="E35" s="87">
        <f t="shared" si="33"/>
        <v>1869.07</v>
      </c>
      <c r="F35" s="88"/>
      <c r="G35" s="89">
        <f t="shared" si="34"/>
        <v>5476.2</v>
      </c>
      <c r="H35" s="90">
        <f t="shared" si="35"/>
        <v>4223.46</v>
      </c>
      <c r="I35" s="3037">
        <f>面积表!F31</f>
        <v>2352.98</v>
      </c>
      <c r="J35" s="91"/>
      <c r="K35" s="3037"/>
      <c r="L35" s="3037"/>
      <c r="M35" s="3037">
        <f>面积表!M31</f>
        <v>1870.48</v>
      </c>
      <c r="N35" s="91"/>
      <c r="O35" s="83">
        <f>面积表!N31</f>
        <v>0</v>
      </c>
      <c r="P35" s="91"/>
      <c r="Q35" s="91"/>
      <c r="R35" s="91"/>
      <c r="S35" s="91"/>
      <c r="T35" s="91"/>
      <c r="U35" s="91"/>
      <c r="V35" s="91"/>
      <c r="W35" s="91"/>
      <c r="X35" s="91"/>
      <c r="Y35" s="91"/>
      <c r="Z35" s="91"/>
      <c r="AA35" s="91"/>
      <c r="AB35" s="91"/>
      <c r="AC35" s="87">
        <f t="shared" si="36"/>
        <v>1252.74</v>
      </c>
      <c r="AD35" s="3041">
        <f>面积表!H31</f>
        <v>0</v>
      </c>
      <c r="AE35" s="92"/>
      <c r="AF35" s="1393"/>
      <c r="AG35" s="92"/>
      <c r="AH35" s="3041">
        <f>面积表!I31</f>
        <v>0</v>
      </c>
      <c r="AI35" s="92"/>
      <c r="AJ35" s="92"/>
      <c r="AK35" s="92"/>
      <c r="AL35" s="3041">
        <f>面积表!K31</f>
        <v>0</v>
      </c>
      <c r="AM35" s="92"/>
      <c r="AN35" s="3041">
        <f>面积表!O31</f>
        <v>1252.74</v>
      </c>
      <c r="AO35" s="92"/>
      <c r="AP35" s="92"/>
      <c r="AQ35" s="92"/>
      <c r="AR35" s="92"/>
      <c r="AS35" s="92"/>
      <c r="AT35" s="3042">
        <f>面积表!J31+面积表!P31</f>
        <v>0</v>
      </c>
      <c r="AU35" s="94"/>
      <c r="AV35" s="1976">
        <f t="shared" si="37"/>
        <v>0</v>
      </c>
      <c r="AW35" s="1976">
        <f t="shared" si="38"/>
        <v>0</v>
      </c>
      <c r="AX35" s="1976" t="str">
        <f t="shared" si="39"/>
        <v>1-23#住宅楼</v>
      </c>
      <c r="AY35" s="95">
        <f t="shared" si="40"/>
        <v>1869.07</v>
      </c>
      <c r="AZ35" s="87">
        <f t="shared" si="41"/>
        <v>5476.2</v>
      </c>
      <c r="BA35" s="87">
        <f t="shared" si="42"/>
        <v>4223.46</v>
      </c>
      <c r="BB35" s="87">
        <f t="shared" si="43"/>
        <v>2352.98</v>
      </c>
      <c r="BC35" s="87">
        <f t="shared" si="44"/>
        <v>0</v>
      </c>
      <c r="BD35" s="87">
        <f t="shared" si="45"/>
        <v>1870.48</v>
      </c>
      <c r="BE35" s="87">
        <f t="shared" si="46"/>
        <v>0</v>
      </c>
      <c r="BF35" s="87">
        <f t="shared" si="47"/>
        <v>0</v>
      </c>
      <c r="BG35" s="87">
        <f t="shared" si="48"/>
        <v>0</v>
      </c>
      <c r="BH35" s="87">
        <f t="shared" si="49"/>
        <v>0</v>
      </c>
      <c r="BI35" s="87">
        <f t="shared" si="50"/>
        <v>0</v>
      </c>
      <c r="BJ35" s="87">
        <f t="shared" si="51"/>
        <v>0</v>
      </c>
      <c r="BK35" s="87">
        <f t="shared" si="52"/>
        <v>0</v>
      </c>
      <c r="BL35" s="87">
        <f t="shared" si="53"/>
        <v>1252.74</v>
      </c>
      <c r="BM35" s="87">
        <f t="shared" si="54"/>
        <v>0</v>
      </c>
      <c r="BN35" s="87">
        <f t="shared" si="55"/>
        <v>0</v>
      </c>
      <c r="BO35" s="87">
        <f t="shared" si="56"/>
        <v>0</v>
      </c>
      <c r="BP35" s="87">
        <f t="shared" si="57"/>
        <v>0</v>
      </c>
      <c r="BQ35" s="87">
        <f t="shared" si="58"/>
        <v>0</v>
      </c>
      <c r="BR35" s="87">
        <f t="shared" si="59"/>
        <v>1252.74</v>
      </c>
      <c r="BS35" s="87">
        <f t="shared" si="60"/>
        <v>0</v>
      </c>
      <c r="BT35" s="96">
        <f t="shared" si="61"/>
        <v>0</v>
      </c>
    </row>
    <row r="36" spans="1:72" ht="13.5" customHeight="1">
      <c r="A36" s="84"/>
      <c r="B36" s="1390"/>
      <c r="C36" s="3035" t="str">
        <f>面积表!C32</f>
        <v>1-24#配套楼</v>
      </c>
      <c r="D36" s="3036" t="s">
        <v>1675</v>
      </c>
      <c r="E36" s="87">
        <f t="shared" si="33"/>
        <v>23.81</v>
      </c>
      <c r="F36" s="88"/>
      <c r="G36" s="89">
        <f t="shared" si="34"/>
        <v>69.760000000000005</v>
      </c>
      <c r="H36" s="90">
        <f t="shared" si="35"/>
        <v>0</v>
      </c>
      <c r="I36" s="3037">
        <f>面积表!F32</f>
        <v>0</v>
      </c>
      <c r="J36" s="91"/>
      <c r="K36" s="3037">
        <f>面积表!G32</f>
        <v>0</v>
      </c>
      <c r="L36" s="3037"/>
      <c r="M36" s="3037">
        <f>面积表!M32</f>
        <v>0</v>
      </c>
      <c r="N36" s="91"/>
      <c r="O36" s="83">
        <f>面积表!N32</f>
        <v>0</v>
      </c>
      <c r="P36" s="91"/>
      <c r="Q36" s="91"/>
      <c r="R36" s="91"/>
      <c r="S36" s="91"/>
      <c r="T36" s="91"/>
      <c r="U36" s="91"/>
      <c r="V36" s="91"/>
      <c r="W36" s="91"/>
      <c r="X36" s="91"/>
      <c r="Y36" s="91"/>
      <c r="Z36" s="91"/>
      <c r="AA36" s="91"/>
      <c r="AB36" s="91"/>
      <c r="AC36" s="87">
        <f t="shared" si="36"/>
        <v>69.760000000000005</v>
      </c>
      <c r="AD36" s="3041">
        <f>面积表!H32</f>
        <v>69.760000000000005</v>
      </c>
      <c r="AE36" s="92"/>
      <c r="AF36" s="1393"/>
      <c r="AG36" s="92"/>
      <c r="AH36" s="3041">
        <f>面积表!I32</f>
        <v>0</v>
      </c>
      <c r="AI36" s="92"/>
      <c r="AJ36" s="92"/>
      <c r="AK36" s="92"/>
      <c r="AL36" s="3041">
        <f>面积表!K32</f>
        <v>0</v>
      </c>
      <c r="AM36" s="92"/>
      <c r="AN36" s="3041">
        <f>面积表!O32</f>
        <v>0</v>
      </c>
      <c r="AO36" s="92"/>
      <c r="AP36" s="92"/>
      <c r="AQ36" s="92"/>
      <c r="AR36" s="92"/>
      <c r="AS36" s="92"/>
      <c r="AT36" s="3042">
        <f>面积表!J32+面积表!P32</f>
        <v>0</v>
      </c>
      <c r="AU36" s="94"/>
      <c r="AV36" s="1976">
        <f t="shared" si="37"/>
        <v>0</v>
      </c>
      <c r="AW36" s="1976">
        <f t="shared" si="38"/>
        <v>0</v>
      </c>
      <c r="AX36" s="1976" t="str">
        <f t="shared" si="39"/>
        <v>1-24#配套楼</v>
      </c>
      <c r="AY36" s="95">
        <f t="shared" si="40"/>
        <v>23.81</v>
      </c>
      <c r="AZ36" s="87">
        <f t="shared" si="41"/>
        <v>69.760000000000005</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69.760000000000005</v>
      </c>
      <c r="BM36" s="87">
        <f t="shared" si="54"/>
        <v>69.760000000000005</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90"/>
      <c r="C37" s="3035" t="str">
        <f>面积表!C33</f>
        <v>1-25#配套楼</v>
      </c>
      <c r="D37" s="3036" t="s">
        <v>1675</v>
      </c>
      <c r="E37" s="87">
        <f t="shared" si="33"/>
        <v>387.23</v>
      </c>
      <c r="F37" s="88"/>
      <c r="G37" s="89">
        <f t="shared" si="34"/>
        <v>1134.56</v>
      </c>
      <c r="H37" s="90">
        <f t="shared" si="35"/>
        <v>1066.56</v>
      </c>
      <c r="I37" s="1393"/>
      <c r="J37" s="91"/>
      <c r="K37" s="3037">
        <f>面积表!G33</f>
        <v>1066.56</v>
      </c>
      <c r="L37" s="3037"/>
      <c r="M37" s="3037">
        <f>面积表!M33</f>
        <v>0</v>
      </c>
      <c r="N37" s="91"/>
      <c r="O37" s="83">
        <f>面积表!N33</f>
        <v>0</v>
      </c>
      <c r="P37" s="91"/>
      <c r="Q37" s="91"/>
      <c r="R37" s="91"/>
      <c r="S37" s="91"/>
      <c r="T37" s="91"/>
      <c r="U37" s="91"/>
      <c r="V37" s="91"/>
      <c r="W37" s="91"/>
      <c r="X37" s="91"/>
      <c r="Y37" s="91"/>
      <c r="Z37" s="91"/>
      <c r="AA37" s="91"/>
      <c r="AB37" s="91"/>
      <c r="AC37" s="87">
        <f t="shared" si="36"/>
        <v>68</v>
      </c>
      <c r="AD37" s="3041">
        <f>面积表!H33</f>
        <v>8</v>
      </c>
      <c r="AE37" s="92"/>
      <c r="AF37" s="1393"/>
      <c r="AG37" s="92"/>
      <c r="AH37" s="3041">
        <f>面积表!I33</f>
        <v>0</v>
      </c>
      <c r="AI37" s="92"/>
      <c r="AJ37" s="92"/>
      <c r="AK37" s="92"/>
      <c r="AL37" s="3041">
        <f>面积表!K33</f>
        <v>60</v>
      </c>
      <c r="AM37" s="92"/>
      <c r="AN37" s="3041">
        <f>面积表!O33</f>
        <v>0</v>
      </c>
      <c r="AO37" s="92"/>
      <c r="AP37" s="92"/>
      <c r="AQ37" s="92"/>
      <c r="AR37" s="92"/>
      <c r="AS37" s="92"/>
      <c r="AT37" s="3042">
        <f>面积表!J33+面积表!P33</f>
        <v>0</v>
      </c>
      <c r="AU37" s="94"/>
      <c r="AV37" s="1976">
        <f t="shared" si="37"/>
        <v>0</v>
      </c>
      <c r="AW37" s="1976">
        <f t="shared" si="38"/>
        <v>0</v>
      </c>
      <c r="AX37" s="1976" t="str">
        <f t="shared" si="39"/>
        <v>1-25#配套楼</v>
      </c>
      <c r="AY37" s="95">
        <f t="shared" si="40"/>
        <v>387.23</v>
      </c>
      <c r="AZ37" s="87">
        <f t="shared" si="41"/>
        <v>1134.56</v>
      </c>
      <c r="BA37" s="87">
        <f t="shared" si="42"/>
        <v>1066.56</v>
      </c>
      <c r="BB37" s="87">
        <f t="shared" si="43"/>
        <v>0</v>
      </c>
      <c r="BC37" s="87">
        <f t="shared" si="44"/>
        <v>1066.56</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68</v>
      </c>
      <c r="BM37" s="87">
        <f t="shared" si="54"/>
        <v>8</v>
      </c>
      <c r="BN37" s="87">
        <f t="shared" si="55"/>
        <v>0</v>
      </c>
      <c r="BO37" s="87">
        <f t="shared" si="56"/>
        <v>0</v>
      </c>
      <c r="BP37" s="87">
        <f t="shared" si="57"/>
        <v>0</v>
      </c>
      <c r="BQ37" s="87">
        <f t="shared" si="58"/>
        <v>60</v>
      </c>
      <c r="BR37" s="87">
        <f t="shared" si="59"/>
        <v>0</v>
      </c>
      <c r="BS37" s="87">
        <f t="shared" si="60"/>
        <v>0</v>
      </c>
      <c r="BT37" s="96">
        <f t="shared" si="61"/>
        <v>0</v>
      </c>
    </row>
    <row r="38" spans="1:72" ht="18" customHeight="1">
      <c r="A38" s="84"/>
      <c r="B38" s="1390"/>
      <c r="C38" s="3035" t="str">
        <f>面积表!C34</f>
        <v>1-26#配套楼</v>
      </c>
      <c r="D38" s="3036" t="s">
        <v>1675</v>
      </c>
      <c r="E38" s="87">
        <f t="shared" si="33"/>
        <v>52.22</v>
      </c>
      <c r="F38" s="88"/>
      <c r="G38" s="89">
        <f t="shared" si="34"/>
        <v>153</v>
      </c>
      <c r="H38" s="90">
        <f t="shared" si="35"/>
        <v>0</v>
      </c>
      <c r="I38" s="1393"/>
      <c r="J38" s="91"/>
      <c r="K38" s="3037">
        <f>面积表!G34</f>
        <v>0</v>
      </c>
      <c r="L38" s="3037"/>
      <c r="M38" s="3037">
        <f>面积表!M34</f>
        <v>0</v>
      </c>
      <c r="N38" s="91"/>
      <c r="O38" s="83">
        <f>面积表!N34</f>
        <v>0</v>
      </c>
      <c r="P38" s="91"/>
      <c r="Q38" s="91"/>
      <c r="R38" s="91"/>
      <c r="S38" s="91"/>
      <c r="T38" s="91"/>
      <c r="U38" s="91"/>
      <c r="V38" s="91"/>
      <c r="W38" s="91"/>
      <c r="X38" s="91"/>
      <c r="Y38" s="91"/>
      <c r="Z38" s="91"/>
      <c r="AA38" s="91"/>
      <c r="AB38" s="91"/>
      <c r="AC38" s="87">
        <f t="shared" si="36"/>
        <v>153</v>
      </c>
      <c r="AD38" s="3041">
        <f>面积表!H34</f>
        <v>0</v>
      </c>
      <c r="AE38" s="92"/>
      <c r="AF38" s="1393"/>
      <c r="AG38" s="92"/>
      <c r="AH38" s="3041">
        <f>面积表!I34</f>
        <v>0</v>
      </c>
      <c r="AI38" s="92"/>
      <c r="AJ38" s="92"/>
      <c r="AK38" s="92"/>
      <c r="AL38" s="3041">
        <f>面积表!K34</f>
        <v>153</v>
      </c>
      <c r="AM38" s="92"/>
      <c r="AN38" s="3041">
        <f>面积表!O34</f>
        <v>0</v>
      </c>
      <c r="AO38" s="92"/>
      <c r="AP38" s="92"/>
      <c r="AQ38" s="92"/>
      <c r="AR38" s="92"/>
      <c r="AS38" s="92"/>
      <c r="AT38" s="3042">
        <f>面积表!J34+面积表!P34</f>
        <v>0</v>
      </c>
      <c r="AU38" s="94"/>
      <c r="AV38" s="1976">
        <f t="shared" si="37"/>
        <v>0</v>
      </c>
      <c r="AW38" s="1976">
        <f t="shared" si="38"/>
        <v>0</v>
      </c>
      <c r="AX38" s="1976" t="str">
        <f t="shared" si="39"/>
        <v>1-26#配套楼</v>
      </c>
      <c r="AY38" s="95">
        <f t="shared" si="40"/>
        <v>52.22</v>
      </c>
      <c r="AZ38" s="87">
        <f t="shared" si="41"/>
        <v>153</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153</v>
      </c>
      <c r="BM38" s="87">
        <f t="shared" si="54"/>
        <v>0</v>
      </c>
      <c r="BN38" s="87">
        <f t="shared" si="55"/>
        <v>0</v>
      </c>
      <c r="BO38" s="87">
        <f t="shared" si="56"/>
        <v>0</v>
      </c>
      <c r="BP38" s="87">
        <f t="shared" si="57"/>
        <v>0</v>
      </c>
      <c r="BQ38" s="87">
        <f t="shared" si="58"/>
        <v>153</v>
      </c>
      <c r="BR38" s="87">
        <f t="shared" si="59"/>
        <v>0</v>
      </c>
      <c r="BS38" s="87">
        <f t="shared" si="60"/>
        <v>0</v>
      </c>
      <c r="BT38" s="96">
        <f t="shared" si="61"/>
        <v>0</v>
      </c>
    </row>
    <row r="39" spans="1:72" ht="18" customHeight="1">
      <c r="A39" s="84"/>
      <c r="B39" s="1390"/>
      <c r="C39" s="3035" t="str">
        <f>面积表!C35</f>
        <v>1-27#配套楼</v>
      </c>
      <c r="D39" s="3036" t="s">
        <v>1675</v>
      </c>
      <c r="E39" s="87">
        <f t="shared" si="33"/>
        <v>52.22</v>
      </c>
      <c r="F39" s="88"/>
      <c r="G39" s="89">
        <f t="shared" si="34"/>
        <v>153</v>
      </c>
      <c r="H39" s="90">
        <f t="shared" si="35"/>
        <v>0</v>
      </c>
      <c r="I39" s="1393"/>
      <c r="J39" s="91"/>
      <c r="K39" s="3037">
        <f>面积表!G35</f>
        <v>0</v>
      </c>
      <c r="L39" s="3037"/>
      <c r="M39" s="3037">
        <f>面积表!M35</f>
        <v>0</v>
      </c>
      <c r="N39" s="91"/>
      <c r="O39" s="83">
        <f>面积表!N35</f>
        <v>0</v>
      </c>
      <c r="P39" s="91"/>
      <c r="Q39" s="91"/>
      <c r="R39" s="91"/>
      <c r="S39" s="91"/>
      <c r="T39" s="91"/>
      <c r="U39" s="91"/>
      <c r="V39" s="91"/>
      <c r="W39" s="91"/>
      <c r="X39" s="91"/>
      <c r="Y39" s="91"/>
      <c r="Z39" s="91"/>
      <c r="AA39" s="91"/>
      <c r="AB39" s="91"/>
      <c r="AC39" s="87">
        <f t="shared" si="36"/>
        <v>153</v>
      </c>
      <c r="AD39" s="3041">
        <f>面积表!H35</f>
        <v>0</v>
      </c>
      <c r="AE39" s="92"/>
      <c r="AF39" s="1393"/>
      <c r="AG39" s="92"/>
      <c r="AH39" s="3041">
        <f>面积表!I35</f>
        <v>0</v>
      </c>
      <c r="AI39" s="92"/>
      <c r="AJ39" s="92"/>
      <c r="AK39" s="92"/>
      <c r="AL39" s="3041">
        <f>面积表!K35</f>
        <v>153</v>
      </c>
      <c r="AM39" s="92"/>
      <c r="AN39" s="3041">
        <f>面积表!O35</f>
        <v>0</v>
      </c>
      <c r="AO39" s="92"/>
      <c r="AP39" s="92"/>
      <c r="AQ39" s="92"/>
      <c r="AR39" s="92"/>
      <c r="AS39" s="92"/>
      <c r="AT39" s="3042">
        <f>面积表!J35+面积表!P35</f>
        <v>0</v>
      </c>
      <c r="AU39" s="94"/>
      <c r="AV39" s="1976">
        <f t="shared" si="37"/>
        <v>0</v>
      </c>
      <c r="AW39" s="1976">
        <f t="shared" si="38"/>
        <v>0</v>
      </c>
      <c r="AX39" s="1976" t="str">
        <f t="shared" si="39"/>
        <v>1-27#配套楼</v>
      </c>
      <c r="AY39" s="95">
        <f t="shared" si="40"/>
        <v>52.22</v>
      </c>
      <c r="AZ39" s="87">
        <f t="shared" si="41"/>
        <v>153</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153</v>
      </c>
      <c r="BM39" s="87">
        <f t="shared" si="54"/>
        <v>0</v>
      </c>
      <c r="BN39" s="87">
        <f t="shared" si="55"/>
        <v>0</v>
      </c>
      <c r="BO39" s="87">
        <f t="shared" si="56"/>
        <v>0</v>
      </c>
      <c r="BP39" s="87">
        <f t="shared" si="57"/>
        <v>0</v>
      </c>
      <c r="BQ39" s="87">
        <f t="shared" si="58"/>
        <v>153</v>
      </c>
      <c r="BR39" s="87">
        <f t="shared" si="59"/>
        <v>0</v>
      </c>
      <c r="BS39" s="87">
        <f t="shared" si="60"/>
        <v>0</v>
      </c>
      <c r="BT39" s="96">
        <f t="shared" si="61"/>
        <v>0</v>
      </c>
    </row>
    <row r="40" spans="1:72" ht="18" customHeight="1">
      <c r="A40" s="84"/>
      <c r="B40" s="1390"/>
      <c r="C40" s="3035" t="str">
        <f>面积表!C36</f>
        <v>1-28#配套楼</v>
      </c>
      <c r="D40" s="3036" t="s">
        <v>1675</v>
      </c>
      <c r="E40" s="87">
        <f t="shared" si="33"/>
        <v>64.510000000000005</v>
      </c>
      <c r="F40" s="88"/>
      <c r="G40" s="89">
        <f t="shared" si="34"/>
        <v>189</v>
      </c>
      <c r="H40" s="90">
        <f t="shared" si="35"/>
        <v>0</v>
      </c>
      <c r="I40" s="1393"/>
      <c r="J40" s="91"/>
      <c r="K40" s="3037">
        <f>面积表!G36</f>
        <v>0</v>
      </c>
      <c r="L40" s="3037"/>
      <c r="M40" s="3037">
        <f>面积表!M36</f>
        <v>0</v>
      </c>
      <c r="N40" s="91"/>
      <c r="O40" s="83">
        <f>面积表!N36</f>
        <v>0</v>
      </c>
      <c r="P40" s="91"/>
      <c r="Q40" s="91"/>
      <c r="R40" s="91"/>
      <c r="S40" s="91"/>
      <c r="T40" s="91"/>
      <c r="U40" s="91"/>
      <c r="V40" s="91"/>
      <c r="W40" s="91"/>
      <c r="X40" s="91"/>
      <c r="Y40" s="91"/>
      <c r="Z40" s="91"/>
      <c r="AA40" s="91"/>
      <c r="AB40" s="91"/>
      <c r="AC40" s="87">
        <f t="shared" si="36"/>
        <v>189</v>
      </c>
      <c r="AD40" s="3041">
        <f>面积表!H36</f>
        <v>0</v>
      </c>
      <c r="AE40" s="92"/>
      <c r="AF40" s="1393"/>
      <c r="AG40" s="92"/>
      <c r="AH40" s="3041">
        <f>面积表!I36</f>
        <v>0</v>
      </c>
      <c r="AI40" s="92"/>
      <c r="AJ40" s="92"/>
      <c r="AK40" s="92"/>
      <c r="AL40" s="3041">
        <f>面积表!K36</f>
        <v>189</v>
      </c>
      <c r="AM40" s="92"/>
      <c r="AN40" s="3041">
        <f>面积表!O36</f>
        <v>0</v>
      </c>
      <c r="AO40" s="92"/>
      <c r="AP40" s="92"/>
      <c r="AQ40" s="92"/>
      <c r="AR40" s="92"/>
      <c r="AS40" s="92"/>
      <c r="AT40" s="3042">
        <f>面积表!J36+面积表!P36</f>
        <v>0</v>
      </c>
      <c r="AU40" s="94"/>
      <c r="AV40" s="1976">
        <f t="shared" si="37"/>
        <v>0</v>
      </c>
      <c r="AW40" s="1976">
        <f t="shared" si="38"/>
        <v>0</v>
      </c>
      <c r="AX40" s="1976" t="str">
        <f t="shared" si="39"/>
        <v>1-28#配套楼</v>
      </c>
      <c r="AY40" s="95">
        <f t="shared" si="40"/>
        <v>64.510000000000005</v>
      </c>
      <c r="AZ40" s="87">
        <f t="shared" si="41"/>
        <v>189</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189</v>
      </c>
      <c r="BM40" s="87">
        <f t="shared" si="54"/>
        <v>0</v>
      </c>
      <c r="BN40" s="87">
        <f t="shared" si="55"/>
        <v>0</v>
      </c>
      <c r="BO40" s="87">
        <f t="shared" si="56"/>
        <v>0</v>
      </c>
      <c r="BP40" s="87">
        <f t="shared" si="57"/>
        <v>0</v>
      </c>
      <c r="BQ40" s="87">
        <f t="shared" si="58"/>
        <v>189</v>
      </c>
      <c r="BR40" s="87">
        <f t="shared" si="59"/>
        <v>0</v>
      </c>
      <c r="BS40" s="87">
        <f t="shared" si="60"/>
        <v>0</v>
      </c>
      <c r="BT40" s="96">
        <f t="shared" si="61"/>
        <v>0</v>
      </c>
    </row>
    <row r="41" spans="1:72" ht="18" customHeight="1">
      <c r="A41" s="84"/>
      <c r="B41" s="1390"/>
      <c r="C41" s="3035" t="str">
        <f>面积表!C37</f>
        <v>1号地下车库</v>
      </c>
      <c r="D41" s="3036" t="s">
        <v>1675</v>
      </c>
      <c r="E41" s="87">
        <f t="shared" si="33"/>
        <v>11969.88</v>
      </c>
      <c r="F41" s="88"/>
      <c r="G41" s="89">
        <f t="shared" si="34"/>
        <v>35070.69</v>
      </c>
      <c r="H41" s="90">
        <f t="shared" si="35"/>
        <v>27013.690000000002</v>
      </c>
      <c r="I41" s="1393"/>
      <c r="J41" s="91"/>
      <c r="K41" s="3037">
        <f>面积表!G37</f>
        <v>0</v>
      </c>
      <c r="L41" s="3037"/>
      <c r="M41" s="3037">
        <f>面积表!M37</f>
        <v>0</v>
      </c>
      <c r="N41" s="91"/>
      <c r="O41" s="83">
        <f>面积表!N37</f>
        <v>27013.690000000002</v>
      </c>
      <c r="P41" s="91"/>
      <c r="Q41" s="91"/>
      <c r="R41" s="91"/>
      <c r="S41" s="91"/>
      <c r="T41" s="91"/>
      <c r="U41" s="91"/>
      <c r="V41" s="91"/>
      <c r="W41" s="91"/>
      <c r="X41" s="91"/>
      <c r="Y41" s="91"/>
      <c r="Z41" s="91"/>
      <c r="AA41" s="91"/>
      <c r="AB41" s="91"/>
      <c r="AC41" s="87">
        <f t="shared" si="36"/>
        <v>20</v>
      </c>
      <c r="AD41" s="3041">
        <f>面积表!H37</f>
        <v>0</v>
      </c>
      <c r="AE41" s="92"/>
      <c r="AF41" s="1393"/>
      <c r="AG41" s="92"/>
      <c r="AH41" s="3041">
        <f>面积表!I37</f>
        <v>0</v>
      </c>
      <c r="AI41" s="92"/>
      <c r="AJ41" s="92"/>
      <c r="AK41" s="92"/>
      <c r="AL41" s="3041">
        <f>面积表!K37</f>
        <v>20</v>
      </c>
      <c r="AM41" s="92"/>
      <c r="AN41" s="3041">
        <f>面积表!O37</f>
        <v>0</v>
      </c>
      <c r="AO41" s="92"/>
      <c r="AP41" s="92"/>
      <c r="AQ41" s="92"/>
      <c r="AR41" s="92"/>
      <c r="AS41" s="92"/>
      <c r="AT41" s="3042">
        <f>面积表!J37+面积表!P37</f>
        <v>8037</v>
      </c>
      <c r="AU41" s="94"/>
      <c r="AV41" s="1976">
        <f t="shared" si="37"/>
        <v>0</v>
      </c>
      <c r="AW41" s="1976">
        <f t="shared" si="38"/>
        <v>0</v>
      </c>
      <c r="AX41" s="1976" t="str">
        <f t="shared" si="39"/>
        <v>1号地下车库</v>
      </c>
      <c r="AY41" s="95">
        <f t="shared" si="40"/>
        <v>9226.7900000000009</v>
      </c>
      <c r="AZ41" s="87">
        <f t="shared" si="41"/>
        <v>27033.690000000002</v>
      </c>
      <c r="BA41" s="87">
        <f t="shared" si="42"/>
        <v>27013.690000000002</v>
      </c>
      <c r="BB41" s="87">
        <f t="shared" si="43"/>
        <v>0</v>
      </c>
      <c r="BC41" s="87">
        <f t="shared" si="44"/>
        <v>0</v>
      </c>
      <c r="BD41" s="87">
        <f t="shared" si="45"/>
        <v>0</v>
      </c>
      <c r="BE41" s="87">
        <f t="shared" si="46"/>
        <v>27013.690000000002</v>
      </c>
      <c r="BF41" s="87">
        <f t="shared" si="47"/>
        <v>0</v>
      </c>
      <c r="BG41" s="87">
        <f t="shared" si="48"/>
        <v>0</v>
      </c>
      <c r="BH41" s="87">
        <f t="shared" si="49"/>
        <v>0</v>
      </c>
      <c r="BI41" s="87">
        <f t="shared" si="50"/>
        <v>0</v>
      </c>
      <c r="BJ41" s="87">
        <f t="shared" si="51"/>
        <v>0</v>
      </c>
      <c r="BK41" s="87">
        <f t="shared" si="52"/>
        <v>0</v>
      </c>
      <c r="BL41" s="87">
        <f t="shared" si="53"/>
        <v>20</v>
      </c>
      <c r="BM41" s="87">
        <f t="shared" si="54"/>
        <v>0</v>
      </c>
      <c r="BN41" s="87">
        <f t="shared" si="55"/>
        <v>0</v>
      </c>
      <c r="BO41" s="87">
        <f t="shared" si="56"/>
        <v>0</v>
      </c>
      <c r="BP41" s="87">
        <f t="shared" si="57"/>
        <v>0</v>
      </c>
      <c r="BQ41" s="87">
        <f t="shared" si="58"/>
        <v>20</v>
      </c>
      <c r="BR41" s="87">
        <f t="shared" si="59"/>
        <v>0</v>
      </c>
      <c r="BS41" s="87">
        <f t="shared" si="60"/>
        <v>0</v>
      </c>
      <c r="BT41" s="96">
        <f t="shared" si="61"/>
        <v>0</v>
      </c>
    </row>
    <row r="42" spans="1:72">
      <c r="A42" s="84"/>
      <c r="B42" s="1390"/>
      <c r="C42" s="3035" t="str">
        <f>面积表!C38</f>
        <v>人防口部</v>
      </c>
      <c r="D42" s="3036" t="s">
        <v>1675</v>
      </c>
      <c r="E42" s="87">
        <f t="shared" si="33"/>
        <v>39.25</v>
      </c>
      <c r="F42" s="88"/>
      <c r="G42" s="89">
        <f t="shared" si="34"/>
        <v>115</v>
      </c>
      <c r="H42" s="90">
        <f t="shared" si="35"/>
        <v>0</v>
      </c>
      <c r="I42" s="1393"/>
      <c r="J42" s="91"/>
      <c r="K42" s="3037">
        <f>面积表!G38</f>
        <v>0</v>
      </c>
      <c r="L42" s="91"/>
      <c r="M42" s="3037">
        <f>面积表!M38</f>
        <v>0</v>
      </c>
      <c r="N42" s="91"/>
      <c r="O42" s="83">
        <f>面积表!N38</f>
        <v>0</v>
      </c>
      <c r="P42" s="91"/>
      <c r="Q42" s="91"/>
      <c r="R42" s="91"/>
      <c r="S42" s="91"/>
      <c r="T42" s="91"/>
      <c r="U42" s="91"/>
      <c r="V42" s="91"/>
      <c r="W42" s="91"/>
      <c r="X42" s="91"/>
      <c r="Y42" s="91"/>
      <c r="Z42" s="91"/>
      <c r="AA42" s="91"/>
      <c r="AB42" s="91"/>
      <c r="AC42" s="87">
        <f t="shared" si="36"/>
        <v>0</v>
      </c>
      <c r="AD42" s="3041">
        <f>面积表!H38</f>
        <v>0</v>
      </c>
      <c r="AE42" s="92"/>
      <c r="AF42" s="1393"/>
      <c r="AG42" s="92"/>
      <c r="AH42" s="3041">
        <f>面积表!I38</f>
        <v>0</v>
      </c>
      <c r="AI42" s="92"/>
      <c r="AJ42" s="92"/>
      <c r="AK42" s="92"/>
      <c r="AL42" s="3041">
        <f>面积表!K38</f>
        <v>0</v>
      </c>
      <c r="AM42" s="92"/>
      <c r="AN42" s="3041">
        <f>面积表!O38</f>
        <v>0</v>
      </c>
      <c r="AO42" s="92"/>
      <c r="AP42" s="92"/>
      <c r="AQ42" s="92"/>
      <c r="AR42" s="92"/>
      <c r="AS42" s="92"/>
      <c r="AT42" s="3042">
        <f>面积表!J38+面积表!P38</f>
        <v>115</v>
      </c>
      <c r="AU42" s="94"/>
      <c r="AV42" s="1976">
        <f t="shared" si="37"/>
        <v>0</v>
      </c>
      <c r="AW42" s="1976">
        <f t="shared" si="38"/>
        <v>0</v>
      </c>
      <c r="AX42" s="1976" t="str">
        <f t="shared" si="39"/>
        <v>人防口部</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3035"/>
      <c r="D43" s="80"/>
      <c r="E43" s="87">
        <f t="shared" si="33"/>
        <v>0</v>
      </c>
      <c r="F43" s="88"/>
      <c r="G43" s="89">
        <f t="shared" si="34"/>
        <v>0</v>
      </c>
      <c r="H43" s="90">
        <f t="shared" si="35"/>
        <v>0</v>
      </c>
      <c r="I43" s="1393"/>
      <c r="J43" s="91"/>
      <c r="K43" s="1393"/>
      <c r="L43" s="91"/>
      <c r="M43" s="3037"/>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3035"/>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3035"/>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3035"/>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3035"/>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3035"/>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3035"/>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3035"/>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4"/>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4"/>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4"/>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4"/>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4"/>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7" t="s">
        <v>0</v>
      </c>
      <c r="B1" s="3327" t="s">
        <v>4</v>
      </c>
      <c r="C1" s="3327" t="s">
        <v>5</v>
      </c>
      <c r="D1" s="3328" t="s">
        <v>40</v>
      </c>
      <c r="E1" s="3328" t="s">
        <v>41</v>
      </c>
      <c r="F1" s="3328"/>
      <c r="G1" s="3328"/>
      <c r="H1" s="3328"/>
      <c r="I1" s="3328"/>
      <c r="J1" s="3328"/>
      <c r="K1" s="3328"/>
      <c r="L1" s="3328"/>
      <c r="M1" s="3328"/>
    </row>
    <row r="2" spans="1:13" ht="27" customHeight="1">
      <c r="A2" s="3327"/>
      <c r="B2" s="3327"/>
      <c r="C2" s="3327"/>
      <c r="D2" s="3328"/>
      <c r="E2" s="3328" t="s">
        <v>24</v>
      </c>
      <c r="F2" s="3328" t="s">
        <v>25</v>
      </c>
      <c r="G2" s="3328"/>
      <c r="H2" s="3328"/>
      <c r="I2" s="3328"/>
      <c r="J2" s="3328" t="s">
        <v>26</v>
      </c>
      <c r="K2" s="3328"/>
      <c r="L2" s="3328"/>
      <c r="M2" s="3328"/>
    </row>
    <row r="3" spans="1:13" ht="28.5">
      <c r="A3" s="3327"/>
      <c r="B3" s="3327"/>
      <c r="C3" s="3327"/>
      <c r="D3" s="3328"/>
      <c r="E3" s="332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8" t="s">
        <v>42</v>
      </c>
      <c r="B9" s="3328"/>
      <c r="C9" s="332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zoomScale="90" zoomScaleNormal="90" zoomScaleSheetLayoutView="90" workbookViewId="0">
      <selection activeCell="H36" sqref="H36"/>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198</v>
      </c>
      <c r="B1" s="1981"/>
      <c r="C1" s="1981"/>
      <c r="D1" s="1981"/>
      <c r="E1" s="1981"/>
      <c r="F1" s="1981"/>
      <c r="G1" s="1981"/>
      <c r="H1" s="1981"/>
      <c r="I1" s="1981"/>
      <c r="J1" s="1981"/>
      <c r="K1" s="1981"/>
      <c r="L1" s="1981"/>
    </row>
    <row r="2" spans="1:16" ht="15">
      <c r="A2" s="3338" t="s">
        <v>199</v>
      </c>
      <c r="B2" s="3338"/>
      <c r="C2" s="3338"/>
      <c r="D2" s="1972" t="s">
        <v>200</v>
      </c>
      <c r="E2" s="106" t="s">
        <v>201</v>
      </c>
      <c r="F2" s="1981"/>
      <c r="G2" s="1197"/>
      <c r="H2" s="1198"/>
      <c r="I2" s="1199" t="s">
        <v>853</v>
      </c>
      <c r="J2" s="1981"/>
      <c r="K2" s="1981"/>
      <c r="L2" s="1981"/>
    </row>
    <row r="3" spans="1:16" ht="15.75" thickBot="1">
      <c r="A3" s="3339" t="s">
        <v>202</v>
      </c>
      <c r="B3" s="3339"/>
      <c r="C3" s="3339"/>
      <c r="D3" s="107">
        <f>'数据-基础表'!AY6</f>
        <v>62101.4</v>
      </c>
      <c r="E3" s="107">
        <f>'数据-基础表'!AZ5</f>
        <v>181951.64</v>
      </c>
      <c r="F3" s="1981"/>
      <c r="G3" s="279" t="s">
        <v>854</v>
      </c>
      <c r="H3" s="274" t="s">
        <v>855</v>
      </c>
      <c r="I3" s="1973">
        <f>ROUND('数据-基础表'!B3/'数据-基础表'!A3,2)</f>
        <v>2.93</v>
      </c>
      <c r="J3" s="1981"/>
      <c r="K3" s="1981"/>
      <c r="L3" s="1981"/>
    </row>
    <row r="4" spans="1:16" ht="15">
      <c r="A4" s="3340"/>
      <c r="B4" s="3341"/>
      <c r="C4" s="3342"/>
      <c r="D4" s="108" t="s">
        <v>200</v>
      </c>
      <c r="E4" s="109" t="s">
        <v>201</v>
      </c>
      <c r="F4" s="1981"/>
      <c r="G4" s="1200"/>
      <c r="H4" s="274" t="s">
        <v>856</v>
      </c>
      <c r="I4" s="1973">
        <f>ROUND(SUMIF('数据-基础表'!I9:AS9,"地上",'数据-基础表'!I5:AS5)/'数据-基础表'!A3,2)</f>
        <v>1.5</v>
      </c>
      <c r="J4" s="1981"/>
      <c r="K4" s="1981"/>
      <c r="L4" s="1981"/>
    </row>
    <row r="5" spans="1:16">
      <c r="A5" s="110" t="s">
        <v>203</v>
      </c>
      <c r="B5" s="3343" t="s">
        <v>226</v>
      </c>
      <c r="C5" s="3343"/>
      <c r="D5" s="111">
        <f>ROUND($D$3*E5/$E$3,2)</f>
        <v>32586.41</v>
      </c>
      <c r="E5" s="112">
        <f>SUMIF('数据-基础表'!$11:$11,"住宅",'数据-基础表'!$5:$5)</f>
        <v>95475.32</v>
      </c>
      <c r="F5" s="1981"/>
      <c r="G5" s="279" t="s">
        <v>857</v>
      </c>
      <c r="H5" s="274" t="s">
        <v>855</v>
      </c>
      <c r="I5" s="1973">
        <f>ROUND(E31/D31,2)</f>
        <v>2.93</v>
      </c>
      <c r="J5" s="1981"/>
      <c r="K5" s="1981"/>
      <c r="L5" s="1981"/>
    </row>
    <row r="6" spans="1:16" ht="15" thickBot="1">
      <c r="A6" s="113"/>
      <c r="B6" s="3343" t="s">
        <v>204</v>
      </c>
      <c r="C6" s="3343"/>
      <c r="D6" s="111">
        <f>ROUND($D$3*E6/$E$3,2)</f>
        <v>29514.99</v>
      </c>
      <c r="E6" s="112">
        <f>E3-E5</f>
        <v>86476.32</v>
      </c>
      <c r="F6" s="1981"/>
      <c r="G6" s="1200"/>
      <c r="H6" s="274" t="s">
        <v>856</v>
      </c>
      <c r="I6" s="1973">
        <f>ROUND(F31/D31,2)</f>
        <v>1.57</v>
      </c>
      <c r="J6" s="1981"/>
      <c r="K6" s="1981"/>
      <c r="L6" s="1981"/>
    </row>
    <row r="7" spans="1:16" ht="15">
      <c r="A7" s="3335"/>
      <c r="B7" s="3336"/>
      <c r="C7" s="3337"/>
      <c r="D7" s="108" t="s">
        <v>200</v>
      </c>
      <c r="E7" s="114" t="s">
        <v>227</v>
      </c>
      <c r="F7" s="1981"/>
      <c r="G7" s="1155" t="s">
        <v>1642</v>
      </c>
      <c r="H7" s="1156"/>
      <c r="I7" s="1843">
        <f>I6</f>
        <v>1.57</v>
      </c>
      <c r="J7" s="1981"/>
      <c r="K7" s="1981"/>
      <c r="L7" s="1981"/>
    </row>
    <row r="8" spans="1:16">
      <c r="A8" s="110" t="s">
        <v>205</v>
      </c>
      <c r="B8" s="115" t="s">
        <v>206</v>
      </c>
      <c r="C8" s="111" t="s">
        <v>207</v>
      </c>
      <c r="D8" s="111">
        <f t="shared" ref="D8:D15" si="0">ROUND($D$3*E8/$E$3,2)</f>
        <v>32950.44</v>
      </c>
      <c r="E8" s="116">
        <f>SUMIF('数据-基础表'!BB10:BK10,"地上",'数据-基础表'!BB5:BK5)</f>
        <v>96541.88</v>
      </c>
      <c r="F8" s="1981"/>
      <c r="G8" s="1983"/>
      <c r="H8" s="1983"/>
      <c r="I8" s="1981"/>
      <c r="J8" s="1981"/>
      <c r="K8" s="1981"/>
      <c r="L8" s="1981"/>
    </row>
    <row r="9" spans="1:16">
      <c r="A9" s="117"/>
      <c r="B9" s="118"/>
      <c r="C9" s="111" t="s">
        <v>208</v>
      </c>
      <c r="D9" s="111">
        <f t="shared" si="0"/>
        <v>0</v>
      </c>
      <c r="E9" s="119">
        <v>0</v>
      </c>
      <c r="F9" s="1981"/>
      <c r="G9" s="1983"/>
      <c r="H9" s="1983"/>
      <c r="I9" s="1981"/>
      <c r="J9" s="1981"/>
      <c r="K9" s="1981"/>
      <c r="L9" s="1981"/>
    </row>
    <row r="10" spans="1:16">
      <c r="A10" s="117"/>
      <c r="B10" s="118"/>
      <c r="C10" s="111" t="s">
        <v>209</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2326</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210</v>
      </c>
      <c r="D12" s="111">
        <f t="shared" si="0"/>
        <v>10182.65</v>
      </c>
      <c r="E12" s="116">
        <f>SUMPRODUCT(('数据-基础表'!BB10:BK10="地下")*('数据-基础表'!BB11:BK11="仓储")*('数据-基础表'!BB5:BK5))</f>
        <v>29834.269999999997</v>
      </c>
      <c r="F12" s="1981"/>
      <c r="G12" s="1983"/>
      <c r="H12" s="1983"/>
      <c r="I12" s="1981"/>
      <c r="J12" s="1981"/>
      <c r="K12" s="1981"/>
      <c r="L12" s="1981"/>
    </row>
    <row r="13" spans="1:16">
      <c r="A13" s="117"/>
      <c r="B13" s="118"/>
      <c r="C13" s="2328" t="s">
        <v>2333</v>
      </c>
      <c r="D13" s="111">
        <f t="shared" si="0"/>
        <v>9219.9699999999993</v>
      </c>
      <c r="E13" s="116">
        <f>SUMPRODUCT(('数据-基础表'!BB10:BK10="地下")*('数据-基础表'!BB11:BK11="车库")*('数据-基础表'!BB5:BK5))</f>
        <v>27013.690000000002</v>
      </c>
      <c r="F13" s="1981"/>
      <c r="G13" s="1983"/>
      <c r="H13" s="1983"/>
      <c r="I13" s="1981"/>
      <c r="J13" s="1981"/>
      <c r="K13" s="1981"/>
      <c r="L13" s="1981"/>
    </row>
    <row r="14" spans="1:16">
      <c r="A14" s="117"/>
      <c r="B14" s="118"/>
      <c r="C14" s="111" t="s">
        <v>228</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229</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211</v>
      </c>
      <c r="D16" s="115">
        <f>SUM(D8:D15)</f>
        <v>52353.060000000005</v>
      </c>
      <c r="E16" s="120">
        <f>SUM(E8:E15)</f>
        <v>153389.84</v>
      </c>
      <c r="F16" s="1981"/>
      <c r="G16" s="1983"/>
      <c r="H16" s="967" t="s">
        <v>215</v>
      </c>
      <c r="I16" s="968"/>
      <c r="J16" s="1981"/>
      <c r="K16" s="3329" t="s">
        <v>2566</v>
      </c>
      <c r="L16" s="3330"/>
      <c r="M16" s="3330"/>
      <c r="N16" s="3330"/>
      <c r="O16" s="3330"/>
      <c r="P16" s="3331"/>
    </row>
    <row r="17" spans="1:19" ht="15">
      <c r="A17" s="121" t="s">
        <v>212</v>
      </c>
      <c r="B17" s="122" t="s">
        <v>213</v>
      </c>
      <c r="C17" s="2295" t="s">
        <v>2312</v>
      </c>
      <c r="D17" s="108" t="s">
        <v>200</v>
      </c>
      <c r="E17" s="124" t="s">
        <v>201</v>
      </c>
      <c r="F17" s="125"/>
      <c r="G17" s="1364"/>
      <c r="H17" s="969" t="s">
        <v>214</v>
      </c>
      <c r="I17" s="970" t="s">
        <v>2311</v>
      </c>
      <c r="J17" s="1981"/>
      <c r="K17" s="3332" t="s">
        <v>2567</v>
      </c>
      <c r="L17" s="3333"/>
      <c r="M17" s="3334"/>
      <c r="N17" s="3332" t="s">
        <v>2568</v>
      </c>
      <c r="O17" s="3333"/>
      <c r="P17" s="3334"/>
      <c r="R17" s="2296" t="s">
        <v>2310</v>
      </c>
      <c r="S17" s="144"/>
    </row>
    <row r="18" spans="1:19" ht="15">
      <c r="A18" s="117"/>
      <c r="B18" s="128"/>
      <c r="C18" s="129"/>
      <c r="D18" s="2663"/>
      <c r="E18" s="130" t="s">
        <v>216</v>
      </c>
      <c r="F18" s="131" t="s">
        <v>217</v>
      </c>
      <c r="G18" s="1365" t="s">
        <v>218</v>
      </c>
      <c r="H18" s="971" t="s">
        <v>219</v>
      </c>
      <c r="I18" s="972" t="s">
        <v>220</v>
      </c>
      <c r="J18" s="1981"/>
      <c r="K18" s="2626" t="s">
        <v>2569</v>
      </c>
      <c r="L18" s="2627" t="s">
        <v>2570</v>
      </c>
      <c r="M18" s="2628" t="s">
        <v>2571</v>
      </c>
      <c r="N18" s="2626" t="s">
        <v>2569</v>
      </c>
      <c r="O18" s="2627" t="s">
        <v>2570</v>
      </c>
      <c r="P18" s="2628" t="s">
        <v>2571</v>
      </c>
      <c r="R18" s="2297" t="s">
        <v>2308</v>
      </c>
      <c r="S18" s="2297" t="s">
        <v>2309</v>
      </c>
    </row>
    <row r="19" spans="1:19">
      <c r="A19" s="133"/>
      <c r="B19" s="115" t="s">
        <v>221</v>
      </c>
      <c r="C19" s="3044" t="s">
        <v>3078</v>
      </c>
      <c r="D19" s="111">
        <f t="shared" ref="D19:D26" si="1">ROUND($D$3*E19/$E$3,2)</f>
        <v>22202.28</v>
      </c>
      <c r="E19" s="134">
        <f t="shared" ref="E19:E26" si="2">SUM(F19:G19)</f>
        <v>65050.73000000001</v>
      </c>
      <c r="F19" s="135">
        <f>'数据-基础表'!I5-'数据-汇总表'!F20</f>
        <v>65050.73000000001</v>
      </c>
      <c r="G19" s="1366"/>
      <c r="H19" s="973">
        <f>ROUND($D$3*I19/$E$3,2)</f>
        <v>4140.9799999999996</v>
      </c>
      <c r="I19" s="116">
        <f>IF($I$17="自定义",P19,M19)</f>
        <v>12132.71</v>
      </c>
      <c r="J19" s="1981"/>
      <c r="K19" s="2629">
        <f t="shared" ref="K19:K26" si="3">ROUND(E$28*E19/E$27,2)</f>
        <v>12079.73</v>
      </c>
      <c r="L19" s="274">
        <f t="shared" ref="L19:L26" si="4">ROUND(IF(COUNTIF(C19,"*住宅*")&gt;0,E$29*E19/E$32,0),2)</f>
        <v>52.98</v>
      </c>
      <c r="M19" s="2630">
        <f>K19+L19</f>
        <v>12132.71</v>
      </c>
      <c r="N19" s="2631"/>
      <c r="O19" s="2632"/>
      <c r="P19" s="2633">
        <f>N19+O19</f>
        <v>0</v>
      </c>
      <c r="R19" s="274">
        <f t="shared" ref="R19:S26" si="5">D19+H19</f>
        <v>26343.26</v>
      </c>
      <c r="S19" s="2298">
        <f t="shared" si="5"/>
        <v>77183.44</v>
      </c>
    </row>
    <row r="20" spans="1:19">
      <c r="A20" s="138"/>
      <c r="B20" s="115" t="s">
        <v>222</v>
      </c>
      <c r="C20" s="3044" t="s">
        <v>3080</v>
      </c>
      <c r="D20" s="111">
        <f t="shared" si="1"/>
        <v>10384.129999999999</v>
      </c>
      <c r="E20" s="134">
        <f t="shared" si="2"/>
        <v>30424.589999999997</v>
      </c>
      <c r="F20" s="135">
        <f>面积表!Q39</f>
        <v>30424.589999999997</v>
      </c>
      <c r="G20" s="1366"/>
      <c r="H20" s="973">
        <f t="shared" ref="H20:H26" si="6">ROUND($D$3*I20/$E$3,2)</f>
        <v>1936.76</v>
      </c>
      <c r="I20" s="116">
        <f t="shared" ref="I20:I26" si="7">IF($I$17="自定义",P20,M20)</f>
        <v>5674.54</v>
      </c>
      <c r="J20" s="1981"/>
      <c r="K20" s="2629">
        <f t="shared" si="3"/>
        <v>5649.76</v>
      </c>
      <c r="L20" s="274">
        <f t="shared" si="4"/>
        <v>24.78</v>
      </c>
      <c r="M20" s="2630">
        <f t="shared" ref="M20:M26" si="8">K20+L20</f>
        <v>5674.54</v>
      </c>
      <c r="N20" s="2631"/>
      <c r="O20" s="2632"/>
      <c r="P20" s="2633">
        <f t="shared" ref="P20:P26" si="9">N20+O20</f>
        <v>0</v>
      </c>
      <c r="R20" s="274">
        <f t="shared" si="5"/>
        <v>12320.89</v>
      </c>
      <c r="S20" s="2298">
        <f t="shared" si="5"/>
        <v>36099.129999999997</v>
      </c>
    </row>
    <row r="21" spans="1:19">
      <c r="A21" s="138"/>
      <c r="B21" s="115" t="s">
        <v>222</v>
      </c>
      <c r="C21" s="3044" t="s">
        <v>3081</v>
      </c>
      <c r="D21" s="111">
        <f t="shared" si="1"/>
        <v>10182.65</v>
      </c>
      <c r="E21" s="134">
        <f t="shared" si="2"/>
        <v>29834.269999999997</v>
      </c>
      <c r="F21" s="135"/>
      <c r="G21" s="1366">
        <f>'数据-基础表'!M5</f>
        <v>29834.269999999997</v>
      </c>
      <c r="H21" s="973">
        <f t="shared" si="6"/>
        <v>1890.89</v>
      </c>
      <c r="I21" s="116">
        <f t="shared" si="7"/>
        <v>5540.14</v>
      </c>
      <c r="J21" s="1981"/>
      <c r="K21" s="2629">
        <f t="shared" si="3"/>
        <v>5540.14</v>
      </c>
      <c r="L21" s="274">
        <f t="shared" si="4"/>
        <v>0</v>
      </c>
      <c r="M21" s="2630">
        <f t="shared" si="8"/>
        <v>5540.14</v>
      </c>
      <c r="N21" s="2631"/>
      <c r="O21" s="2632"/>
      <c r="P21" s="2633">
        <f t="shared" si="9"/>
        <v>0</v>
      </c>
      <c r="R21" s="274">
        <f t="shared" si="5"/>
        <v>12073.539999999999</v>
      </c>
      <c r="S21" s="2298">
        <f t="shared" si="5"/>
        <v>35374.409999999996</v>
      </c>
    </row>
    <row r="22" spans="1:19">
      <c r="A22" s="138"/>
      <c r="B22" s="115" t="s">
        <v>222</v>
      </c>
      <c r="C22" s="3044" t="s">
        <v>3082</v>
      </c>
      <c r="D22" s="111">
        <f t="shared" si="1"/>
        <v>9219.9699999999993</v>
      </c>
      <c r="E22" s="134">
        <f t="shared" si="2"/>
        <v>27013.690000000002</v>
      </c>
      <c r="F22" s="140"/>
      <c r="G22" s="1367">
        <f>'数据-基础表'!O5</f>
        <v>27013.690000000002</v>
      </c>
      <c r="H22" s="973">
        <f t="shared" si="6"/>
        <v>1712.12</v>
      </c>
      <c r="I22" s="116">
        <f t="shared" si="7"/>
        <v>5016.3599999999997</v>
      </c>
      <c r="J22" s="1981"/>
      <c r="K22" s="2629">
        <f t="shared" si="3"/>
        <v>5016.3599999999997</v>
      </c>
      <c r="L22" s="274">
        <f t="shared" si="4"/>
        <v>0</v>
      </c>
      <c r="M22" s="2630">
        <f t="shared" si="8"/>
        <v>5016.3599999999997</v>
      </c>
      <c r="N22" s="2631"/>
      <c r="O22" s="2632"/>
      <c r="P22" s="2633">
        <f t="shared" si="9"/>
        <v>0</v>
      </c>
      <c r="R22" s="274">
        <f t="shared" si="5"/>
        <v>10932.09</v>
      </c>
      <c r="S22" s="2298">
        <f t="shared" si="5"/>
        <v>32030.050000000003</v>
      </c>
    </row>
    <row r="23" spans="1:19">
      <c r="A23" s="138"/>
      <c r="B23" s="115" t="s">
        <v>222</v>
      </c>
      <c r="C23" s="3044" t="s">
        <v>3083</v>
      </c>
      <c r="D23" s="111">
        <f>ROUND($D$3*E23/$E$3,2)</f>
        <v>364.02</v>
      </c>
      <c r="E23" s="134">
        <f>SUM(F23:G23)</f>
        <v>1066.56</v>
      </c>
      <c r="F23" s="140">
        <f>'数据-基础表'!K5</f>
        <v>1066.56</v>
      </c>
      <c r="G23" s="1367"/>
      <c r="H23" s="973">
        <f>ROUND($D$3*I23/$E$3,2)</f>
        <v>67.599999999999994</v>
      </c>
      <c r="I23" s="116">
        <f t="shared" si="7"/>
        <v>198.06</v>
      </c>
      <c r="J23" s="1981"/>
      <c r="K23" s="2629">
        <f t="shared" si="3"/>
        <v>198.06</v>
      </c>
      <c r="L23" s="274">
        <f t="shared" si="4"/>
        <v>0</v>
      </c>
      <c r="M23" s="2630">
        <f t="shared" si="8"/>
        <v>198.06</v>
      </c>
      <c r="N23" s="2631"/>
      <c r="O23" s="2632"/>
      <c r="P23" s="2633">
        <f t="shared" si="9"/>
        <v>0</v>
      </c>
      <c r="R23" s="274">
        <f t="shared" si="5"/>
        <v>431.62</v>
      </c>
      <c r="S23" s="2298">
        <f t="shared" si="5"/>
        <v>1264.6199999999999</v>
      </c>
    </row>
    <row r="24" spans="1:19">
      <c r="A24" s="138"/>
      <c r="B24" s="115" t="s">
        <v>222</v>
      </c>
      <c r="C24" s="139"/>
      <c r="D24" s="111">
        <f>ROUND($D$3*E24/$E$3,2)</f>
        <v>0</v>
      </c>
      <c r="E24" s="134">
        <f>SUM(F24:G24)</f>
        <v>0</v>
      </c>
      <c r="F24" s="140"/>
      <c r="G24" s="1367"/>
      <c r="H24" s="973">
        <f>ROUND($D$3*I24/$E$3,2)</f>
        <v>0</v>
      </c>
      <c r="I24" s="116">
        <f t="shared" si="7"/>
        <v>0</v>
      </c>
      <c r="J24" s="1981"/>
      <c r="K24" s="2629">
        <f t="shared" si="3"/>
        <v>0</v>
      </c>
      <c r="L24" s="274">
        <f t="shared" si="4"/>
        <v>0</v>
      </c>
      <c r="M24" s="2630">
        <f t="shared" si="8"/>
        <v>0</v>
      </c>
      <c r="N24" s="2631"/>
      <c r="O24" s="2632"/>
      <c r="P24" s="2633">
        <f t="shared" si="9"/>
        <v>0</v>
      </c>
      <c r="R24" s="274">
        <f t="shared" si="5"/>
        <v>0</v>
      </c>
      <c r="S24" s="2298">
        <f t="shared" si="5"/>
        <v>0</v>
      </c>
    </row>
    <row r="25" spans="1:19">
      <c r="A25" s="138"/>
      <c r="B25" s="115" t="s">
        <v>222</v>
      </c>
      <c r="C25" s="139"/>
      <c r="D25" s="111">
        <f t="shared" si="1"/>
        <v>0</v>
      </c>
      <c r="E25" s="134">
        <f t="shared" si="2"/>
        <v>0</v>
      </c>
      <c r="F25" s="140"/>
      <c r="G25" s="1367"/>
      <c r="H25" s="110">
        <f t="shared" si="6"/>
        <v>0</v>
      </c>
      <c r="I25" s="116">
        <f t="shared" si="7"/>
        <v>0</v>
      </c>
      <c r="J25" s="1981"/>
      <c r="K25" s="2629">
        <f t="shared" si="3"/>
        <v>0</v>
      </c>
      <c r="L25" s="274">
        <f t="shared" si="4"/>
        <v>0</v>
      </c>
      <c r="M25" s="2630">
        <f t="shared" si="8"/>
        <v>0</v>
      </c>
      <c r="N25" s="2631"/>
      <c r="O25" s="2632"/>
      <c r="P25" s="2633">
        <f t="shared" si="9"/>
        <v>0</v>
      </c>
      <c r="R25" s="274">
        <f t="shared" si="5"/>
        <v>0</v>
      </c>
      <c r="S25" s="2298">
        <f t="shared" si="5"/>
        <v>0</v>
      </c>
    </row>
    <row r="26" spans="1:19">
      <c r="A26" s="138"/>
      <c r="B26" s="115" t="s">
        <v>222</v>
      </c>
      <c r="C26" s="142"/>
      <c r="D26" s="111">
        <f t="shared" si="1"/>
        <v>0</v>
      </c>
      <c r="E26" s="134">
        <f t="shared" si="2"/>
        <v>0</v>
      </c>
      <c r="F26" s="140"/>
      <c r="G26" s="1367"/>
      <c r="H26" s="110">
        <f t="shared" si="6"/>
        <v>0</v>
      </c>
      <c r="I26" s="116">
        <f t="shared" si="7"/>
        <v>0</v>
      </c>
      <c r="J26" s="1981"/>
      <c r="K26" s="2634">
        <f t="shared" si="3"/>
        <v>0</v>
      </c>
      <c r="L26" s="279">
        <f t="shared" si="4"/>
        <v>0</v>
      </c>
      <c r="M26" s="146">
        <f t="shared" si="8"/>
        <v>0</v>
      </c>
      <c r="N26" s="2635"/>
      <c r="O26" s="2636"/>
      <c r="P26" s="2637">
        <f t="shared" si="9"/>
        <v>0</v>
      </c>
      <c r="R26" s="274">
        <f t="shared" si="5"/>
        <v>0</v>
      </c>
      <c r="S26" s="2298">
        <f t="shared" si="5"/>
        <v>0</v>
      </c>
    </row>
    <row r="27" spans="1:19" ht="15.75" thickBot="1">
      <c r="A27" s="138"/>
      <c r="B27" s="111"/>
      <c r="C27" s="127" t="s">
        <v>211</v>
      </c>
      <c r="D27" s="134">
        <f>SUM(D19:D26)</f>
        <v>52353.049999999996</v>
      </c>
      <c r="E27" s="143">
        <f>IF(SUM(E19:E26)='数据-基础表'!BA5,SUM(E19:E26),IF(F27="地上面积有误","面积有误","地下面积有误"))</f>
        <v>153389.84</v>
      </c>
      <c r="F27" s="134">
        <f>IF(SUM(F19:F26)=E8,SUM(F19:F26),"地上面积有误")</f>
        <v>96541.88</v>
      </c>
      <c r="G27" s="112">
        <f>SUM(G19:G26)</f>
        <v>56847.96</v>
      </c>
      <c r="H27" s="974">
        <f>SUM(H19:H26)</f>
        <v>9748.35</v>
      </c>
      <c r="I27" s="975">
        <f>SUM(I19:I26)</f>
        <v>28561.81</v>
      </c>
      <c r="J27" s="1981"/>
      <c r="K27" s="2638">
        <f>SUM(K19:K26)</f>
        <v>28484.05</v>
      </c>
      <c r="L27" s="2639">
        <f>SUM(L19:L26)</f>
        <v>77.759999999999991</v>
      </c>
      <c r="M27" s="2640">
        <f>SUM(M19:M26)</f>
        <v>28561.81</v>
      </c>
      <c r="N27" s="2638">
        <f t="shared" ref="N27:O27" si="10">SUM(N19:N26)</f>
        <v>0</v>
      </c>
      <c r="O27" s="2639">
        <f t="shared" si="10"/>
        <v>0</v>
      </c>
      <c r="P27" s="2641">
        <f>SUM(P19:P26)</f>
        <v>0</v>
      </c>
      <c r="R27" s="2302">
        <f>IF(SUM(R19:R26)=$D$3,SUM(R19:R26),SUM(R19:R26)&amp;"误差"&amp;ROUND(SUM(R19:R26)-$D$3,2))</f>
        <v>62101.4</v>
      </c>
      <c r="S27" s="274" t="str">
        <f>IF(SUM(S19:S26)=$E$3,SUM(S19:S26),SUM(S19:S26)&amp;"误差"&amp;ROUND(SUM(S19:S26)-E3,2))</f>
        <v>181951.65误差0.01</v>
      </c>
    </row>
    <row r="28" spans="1:19">
      <c r="A28" s="138"/>
      <c r="B28" s="115" t="s">
        <v>223</v>
      </c>
      <c r="C28" s="136" t="s">
        <v>224</v>
      </c>
      <c r="D28" s="111">
        <f>ROUND($D$3*E28/$E$3,2)</f>
        <v>9721.81</v>
      </c>
      <c r="E28" s="134">
        <f>SUM(F28:G28)</f>
        <v>28484.040000000005</v>
      </c>
      <c r="F28" s="144">
        <f>'数据-基础表'!BQ5+'数据-基础表'!BS5</f>
        <v>635</v>
      </c>
      <c r="G28" s="145">
        <f>'数据-基础表'!BR5+'数据-基础表'!BT5</f>
        <v>27849.040000000005</v>
      </c>
      <c r="H28" s="1981"/>
      <c r="I28" s="1981"/>
      <c r="J28" s="1981"/>
      <c r="K28" s="1981"/>
      <c r="L28" s="1981"/>
    </row>
    <row r="29" spans="1:19">
      <c r="A29" s="138"/>
      <c r="B29" s="115" t="s">
        <v>223</v>
      </c>
      <c r="C29" s="2310" t="s">
        <v>2319</v>
      </c>
      <c r="D29" s="111">
        <f>ROUND($D$3*E29/$E$3,2)</f>
        <v>26.54</v>
      </c>
      <c r="E29" s="134">
        <f>SUM(F29:G29)</f>
        <v>77.760000000000005</v>
      </c>
      <c r="F29" s="144">
        <f>'数据-基础表'!BM5+'数据-基础表'!BO5</f>
        <v>77.760000000000005</v>
      </c>
      <c r="G29" s="146">
        <f>'数据-基础表'!BN5+'数据-基础表'!BP5</f>
        <v>0</v>
      </c>
      <c r="H29" s="1981"/>
      <c r="I29" s="1981"/>
      <c r="J29" s="1981"/>
      <c r="K29" s="1981"/>
      <c r="L29" s="1981"/>
    </row>
    <row r="30" spans="1:19">
      <c r="A30" s="138"/>
      <c r="B30" s="111"/>
      <c r="C30" s="147" t="s">
        <v>211</v>
      </c>
      <c r="D30" s="134">
        <f>SUM(D28:D29)</f>
        <v>9748.35</v>
      </c>
      <c r="E30" s="134">
        <f>SUM(E28:E29)</f>
        <v>28561.800000000003</v>
      </c>
      <c r="F30" s="134">
        <f>SUM(F28:F29)</f>
        <v>712.76</v>
      </c>
      <c r="G30" s="112">
        <f>SUM(G28:G29)</f>
        <v>27849.040000000005</v>
      </c>
      <c r="H30" s="1981"/>
      <c r="I30" s="1981"/>
      <c r="J30" s="1981"/>
      <c r="K30" s="1981"/>
      <c r="L30" s="1981"/>
    </row>
    <row r="31" spans="1:19" ht="32.25" customHeight="1" thickBot="1">
      <c r="A31" s="1368"/>
      <c r="B31" s="1369" t="s">
        <v>225</v>
      </c>
      <c r="C31" s="2327" t="s">
        <v>2321</v>
      </c>
      <c r="D31" s="1370">
        <f>D27+D30</f>
        <v>62101.399999999994</v>
      </c>
      <c r="E31" s="1370">
        <f>E27+E30</f>
        <v>181951.64</v>
      </c>
      <c r="F31" s="1371">
        <f>F27+F30</f>
        <v>97254.64</v>
      </c>
      <c r="G31" s="1372">
        <f>G27+G30</f>
        <v>84697</v>
      </c>
      <c r="H31" s="1981"/>
      <c r="I31" s="1981"/>
      <c r="J31" s="1981"/>
      <c r="K31" s="1981"/>
      <c r="L31" s="1981"/>
    </row>
    <row r="32" spans="1:19">
      <c r="A32" s="1981"/>
      <c r="B32" s="2360" t="s">
        <v>2320</v>
      </c>
      <c r="C32" s="2668"/>
      <c r="D32" s="1200"/>
      <c r="E32" s="1200">
        <f>SUMIF(C19:C26,"*住宅*",E19:E26)</f>
        <v>95475.32</v>
      </c>
      <c r="F32" s="1200"/>
      <c r="G32" s="1200"/>
    </row>
    <row r="33" spans="4:6">
      <c r="D33" s="1985"/>
    </row>
    <row r="34" spans="4:6">
      <c r="D34" s="1982">
        <f>D3+'[1]数据-汇总表'!$D$3</f>
        <v>85011.56</v>
      </c>
    </row>
    <row r="35" spans="4:6">
      <c r="D35" s="1982">
        <f>E3+'[1]数据-汇总表'!$E$3</f>
        <v>249885</v>
      </c>
      <c r="E35" s="1982">
        <f>D35+12074</f>
        <v>261959</v>
      </c>
      <c r="F35" s="324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V22" sqref="V22"/>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230</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231</v>
      </c>
      <c r="B2" s="2335">
        <f>项目基本情况!D3</f>
        <v>43234</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6"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8" t="s">
        <v>2828</v>
      </c>
      <c r="O5" s="163" t="s">
        <v>242</v>
      </c>
      <c r="P5" s="165" t="s">
        <v>243</v>
      </c>
      <c r="Q5" s="166" t="s">
        <v>244</v>
      </c>
      <c r="R5" s="167" t="s">
        <v>245</v>
      </c>
      <c r="S5" s="2642" t="s">
        <v>2572</v>
      </c>
      <c r="T5" s="168" t="s">
        <v>246</v>
      </c>
      <c r="U5" s="169" t="s">
        <v>247</v>
      </c>
      <c r="V5" s="159" t="s">
        <v>248</v>
      </c>
      <c r="W5" s="159" t="s">
        <v>249</v>
      </c>
      <c r="X5" s="1815"/>
      <c r="Y5" s="170" t="s">
        <v>250</v>
      </c>
      <c r="Z5" s="171" t="s">
        <v>251</v>
      </c>
      <c r="AA5" s="159" t="s">
        <v>248</v>
      </c>
      <c r="AB5" s="159" t="s">
        <v>249</v>
      </c>
      <c r="AC5" s="1816"/>
      <c r="AD5" s="172" t="s">
        <v>250</v>
      </c>
      <c r="AE5" s="1" t="s">
        <v>866</v>
      </c>
      <c r="AF5" s="159" t="s">
        <v>252</v>
      </c>
      <c r="AG5" s="170" t="s">
        <v>253</v>
      </c>
      <c r="AH5" s="1816" t="s">
        <v>2322</v>
      </c>
      <c r="AI5" s="171" t="s">
        <v>2291</v>
      </c>
      <c r="AJ5" s="171" t="s">
        <v>254</v>
      </c>
      <c r="AK5" s="159" t="s">
        <v>255</v>
      </c>
      <c r="AL5" s="159" t="s">
        <v>256</v>
      </c>
      <c r="AM5" s="172" t="s">
        <v>257</v>
      </c>
      <c r="AN5" s="2412" t="s">
        <v>2373</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住宅出售</v>
      </c>
      <c r="B6" s="2334" t="str">
        <f>IF(A6=0,"","经营性")</f>
        <v>经营性</v>
      </c>
      <c r="C6" s="173" t="s">
        <v>919</v>
      </c>
      <c r="D6" s="2305">
        <f>SUMIF(项目基本情况!D$15:I$15,C6,项目基本情况!D$18:I$18)</f>
        <v>70</v>
      </c>
      <c r="E6" s="2306">
        <f>IF(B6="","",SUMIF(项目基本情况!D$15:I$15,C6,项目基本情况!D$17:I$17))</f>
        <v>68542</v>
      </c>
      <c r="F6" s="174">
        <f>SUMIF(项目基本情况!D$15:I$15,C6,项目基本情况!D$19:I$19)</f>
        <v>69.33</v>
      </c>
      <c r="G6" s="175">
        <f>IF(ISERROR(ROUND(POWER(1+H6,D6-F6)*(POWER(1+H6,F6)-1)/(POWER(1+H6,D6)-1),3)),0,ROUND(POWER(1+H6,D6-F6)*(POWER(1+H6,F6)-1)/(POWER(1+H6,D6)-1),3))</f>
        <v>0.998</v>
      </c>
      <c r="H6" s="3045">
        <v>0.04</v>
      </c>
      <c r="I6" s="3045">
        <v>4.4999999999999998E-2</v>
      </c>
      <c r="J6" s="176">
        <v>0.08</v>
      </c>
      <c r="K6" s="179">
        <f>SUMIF('数据-汇总表'!C$19:C$33,'数据-取费表'!A6,'数据-汇总表'!E$19:E$33)</f>
        <v>65050.73000000001</v>
      </c>
      <c r="L6" s="3253">
        <v>2600</v>
      </c>
      <c r="M6" s="177">
        <f t="shared" ref="M6:M14" si="0">ROUND(K6*L6/10000,0)</f>
        <v>16913</v>
      </c>
      <c r="N6" s="3046">
        <v>0</v>
      </c>
      <c r="O6" s="177">
        <f>IF($N$5="成新度","——",ROUND(M6*N6,0))</f>
        <v>0</v>
      </c>
      <c r="P6" s="178">
        <f>IF($N$5="成新度","——",M6-O6)</f>
        <v>16913</v>
      </c>
      <c r="Q6" s="3047">
        <v>0.1</v>
      </c>
      <c r="R6" s="179">
        <f>SUMIF('数据-汇总表'!C$19:C$33,A6,'数据-汇总表'!R$19:R$33)</f>
        <v>26343.26</v>
      </c>
      <c r="S6" s="132">
        <f>IF('数据-汇总表'!$I$17="按面积比例",SUMIF('数据-汇总表'!C$19:C$33,A6,'数据-汇总表'!K$19:K$33),SUMIF('数据-汇总表'!C$19:C$33,A6,'数据-汇总表'!N$19:N$33))</f>
        <v>12079.73</v>
      </c>
      <c r="T6" s="2231">
        <f>IF($T$4="按面积比例",IF(ISERROR(ROUND($M$14*S6/S$16,0)),"0",ROUND($M$14*S6/S$16,0)),"需自行计算录入")</f>
        <v>3141</v>
      </c>
      <c r="U6" s="183"/>
      <c r="V6" s="176"/>
      <c r="W6" s="176"/>
      <c r="X6" s="2318"/>
      <c r="Y6" s="182"/>
      <c r="Z6" s="183"/>
      <c r="AA6" s="176"/>
      <c r="AB6" s="176"/>
      <c r="AC6" s="2321"/>
      <c r="AD6" s="184"/>
      <c r="AE6" s="971">
        <f ca="1">IF(AN6="",0,SUMIF(INDIRECT("'"&amp;AN6&amp;"'"&amp;"!E:E"),$AE$5,INDIRECT("'"&amp;AN6&amp;"'"&amp;"!F:F")))</f>
        <v>0</v>
      </c>
      <c r="AF6" s="141"/>
      <c r="AG6" s="1212">
        <f>IF(AF6="",0,AE6-AF6)</f>
        <v>0</v>
      </c>
      <c r="AH6" s="141"/>
      <c r="AI6" s="187"/>
      <c r="AJ6" s="188"/>
      <c r="AK6" s="189"/>
      <c r="AL6" s="190"/>
      <c r="AM6" s="3058"/>
      <c r="AN6" s="2413"/>
      <c r="AO6" s="1997"/>
      <c r="AP6" s="1203">
        <f>ROUND(1-1/(1+H6)^F6,3)</f>
        <v>0.93400000000000005</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c r="A7" s="2299" t="str">
        <f>'数据-汇总表'!C20</f>
        <v>住宅自持</v>
      </c>
      <c r="B7" s="2334" t="str">
        <f t="shared" ref="B7:B13" si="1">IF(A7=0,"","经营性")</f>
        <v>经营性</v>
      </c>
      <c r="C7" s="173" t="s">
        <v>919</v>
      </c>
      <c r="D7" s="2305">
        <f>SUMIF(项目基本情况!D$15:I$15,C7,项目基本情况!D$18:I$18)</f>
        <v>70</v>
      </c>
      <c r="E7" s="2306">
        <f>IF(B7="","",SUMIF(项目基本情况!D$15:I$15,C7,项目基本情况!D$17:I$17))</f>
        <v>68542</v>
      </c>
      <c r="F7" s="174">
        <f>SUMIF(项目基本情况!D$15:I$15,C7,项目基本情况!D$19:I$19)</f>
        <v>69.33</v>
      </c>
      <c r="G7" s="175">
        <f t="shared" ref="G7:G11" si="2">IF(ISERROR(ROUND(POWER(1+H7,D7-F7)*(POWER(1+H7,F7)-1)/(POWER(1+H7,D7)-1),3)),0,ROUND(POWER(1+H7,D7-F7)*(POWER(1+H7,F7)-1)/(POWER(1+H7,D7)-1),3))</f>
        <v>0.998</v>
      </c>
      <c r="H7" s="3045">
        <v>0.04</v>
      </c>
      <c r="I7" s="3045">
        <v>4.4999999999999998E-2</v>
      </c>
      <c r="J7" s="176">
        <v>0.08</v>
      </c>
      <c r="K7" s="179">
        <f>SUMIF('数据-汇总表'!C$19:C$33,'数据-取费表'!A7,'数据-汇总表'!E$19:E$33)</f>
        <v>30424.589999999997</v>
      </c>
      <c r="L7" s="3253">
        <f>L6</f>
        <v>2600</v>
      </c>
      <c r="M7" s="177">
        <f t="shared" si="0"/>
        <v>7910</v>
      </c>
      <c r="N7" s="3046">
        <v>0</v>
      </c>
      <c r="O7" s="177">
        <f t="shared" ref="O7:O14" si="3">IF($N$5="成新度","——",ROUND(M7*N7,0))</f>
        <v>0</v>
      </c>
      <c r="P7" s="178">
        <f t="shared" ref="P7:P14" si="4">IF($N$5="成新度","——",M7-O7)</f>
        <v>7910</v>
      </c>
      <c r="Q7" s="3047">
        <v>0.1</v>
      </c>
      <c r="R7" s="179">
        <f>SUMIF('数据-汇总表'!C$19:C$33,A7,'数据-汇总表'!R$19:R$33)</f>
        <v>12320.89</v>
      </c>
      <c r="S7" s="132">
        <f>IF('数据-汇总表'!$I$17="按面积比例",SUMIF('数据-汇总表'!C$19:C$33,A7,'数据-汇总表'!K$19:K$33),SUMIF('数据-汇总表'!C$19:C$33,A7,'数据-汇总表'!N$19:N$33))</f>
        <v>5649.76</v>
      </c>
      <c r="T7" s="2231">
        <f t="shared" ref="T7:T13" si="5">IF($T$4="按面积比例",IF(ISERROR(ROUND($M$14*S7/S$16,0)),"0",ROUND($M$14*S7/S$16,0)),"需自行计算录入")</f>
        <v>1469</v>
      </c>
      <c r="U7" s="183">
        <v>2.2000000000000002</v>
      </c>
      <c r="V7" s="176">
        <v>0.03</v>
      </c>
      <c r="W7" s="176">
        <v>0.05</v>
      </c>
      <c r="X7" s="2318"/>
      <c r="Y7" s="182">
        <v>1</v>
      </c>
      <c r="Z7" s="183"/>
      <c r="AA7" s="176"/>
      <c r="AB7" s="176"/>
      <c r="AC7" s="2321"/>
      <c r="AD7" s="184"/>
      <c r="AE7" s="971">
        <f t="shared" ref="AE7:AE13" ca="1" si="6">IF(AN7="",0,SUMIF(INDIRECT("'"&amp;AN7&amp;"'"&amp;"!E:E"),$AE$5,INDIRECT("'"&amp;AN7&amp;"'"&amp;"!F:F")))</f>
        <v>60</v>
      </c>
      <c r="AF7" s="141"/>
      <c r="AG7" s="1212">
        <f t="shared" ref="AG7:AG13" si="7">IF(AF7="",0,AE7-AF7)</f>
        <v>0</v>
      </c>
      <c r="AH7" s="141"/>
      <c r="AI7" s="187">
        <v>365</v>
      </c>
      <c r="AJ7" s="188"/>
      <c r="AK7" s="189">
        <v>1.4999999999999999E-2</v>
      </c>
      <c r="AL7" s="190">
        <v>1.5E-3</v>
      </c>
      <c r="AM7" s="3058">
        <v>0.01</v>
      </c>
      <c r="AN7" s="2413" t="s">
        <v>3084</v>
      </c>
      <c r="AO7" s="1997"/>
      <c r="AP7" s="1203">
        <f t="shared" ref="AP7:AP13" si="8">ROUND(1-1/(1+H7)^F7,3)</f>
        <v>0.93400000000000005</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c r="A8" s="2299" t="str">
        <f>'数据-汇总表'!C21</f>
        <v>地下仓储</v>
      </c>
      <c r="B8" s="2334" t="str">
        <f t="shared" si="1"/>
        <v>经营性</v>
      </c>
      <c r="C8" s="173" t="s">
        <v>3004</v>
      </c>
      <c r="D8" s="2305">
        <f>SUMIF(项目基本情况!D$15:I$15,C8,项目基本情况!D$18:I$18)</f>
        <v>50</v>
      </c>
      <c r="E8" s="2306">
        <f>IF(B8="","",SUMIF(项目基本情况!D$15:I$15,C8,项目基本情况!D$17:I$17))</f>
        <v>61237</v>
      </c>
      <c r="F8" s="174">
        <f>SUMIF(项目基本情况!D$15:I$15,C8,项目基本情况!D$19:I$19)</f>
        <v>49.32</v>
      </c>
      <c r="G8" s="175">
        <f t="shared" si="2"/>
        <v>0.996</v>
      </c>
      <c r="H8" s="3045">
        <v>4.4999999999999998E-2</v>
      </c>
      <c r="I8" s="3045">
        <v>0.05</v>
      </c>
      <c r="J8" s="176">
        <v>0.08</v>
      </c>
      <c r="K8" s="179">
        <f>SUMIF('数据-汇总表'!C$19:C$33,'数据-取费表'!A8,'数据-汇总表'!E$19:E$33)</f>
        <v>29834.269999999997</v>
      </c>
      <c r="L8" s="3253">
        <f>L7</f>
        <v>2600</v>
      </c>
      <c r="M8" s="177">
        <f>ROUND(K8*L8/10000,0)</f>
        <v>7757</v>
      </c>
      <c r="N8" s="3046">
        <v>0</v>
      </c>
      <c r="O8" s="177">
        <f t="shared" si="3"/>
        <v>0</v>
      </c>
      <c r="P8" s="178">
        <f t="shared" si="4"/>
        <v>7757</v>
      </c>
      <c r="Q8" s="3047">
        <v>0.05</v>
      </c>
      <c r="R8" s="179">
        <f>SUMIF('数据-汇总表'!C$19:C$33,A8,'数据-汇总表'!R$19:R$33)</f>
        <v>12073.539999999999</v>
      </c>
      <c r="S8" s="132">
        <f>IF('数据-汇总表'!$I$17="按面积比例",SUMIF('数据-汇总表'!C$19:C$33,A8,'数据-汇总表'!K$19:K$33),SUMIF('数据-汇总表'!C$19:C$33,A8,'数据-汇总表'!N$19:N$33))</f>
        <v>5540.14</v>
      </c>
      <c r="T8" s="2231">
        <f t="shared" si="5"/>
        <v>1440</v>
      </c>
      <c r="U8" s="183">
        <v>1.3</v>
      </c>
      <c r="V8" s="176">
        <v>2.5000000000000001E-2</v>
      </c>
      <c r="W8" s="176">
        <v>0.1</v>
      </c>
      <c r="X8" s="2318"/>
      <c r="Y8" s="182">
        <v>1</v>
      </c>
      <c r="Z8" s="183"/>
      <c r="AA8" s="176"/>
      <c r="AB8" s="176"/>
      <c r="AC8" s="2321"/>
      <c r="AD8" s="184"/>
      <c r="AE8" s="971">
        <f t="shared" ca="1" si="6"/>
        <v>47.32</v>
      </c>
      <c r="AF8" s="141"/>
      <c r="AG8" s="1212">
        <f t="shared" si="7"/>
        <v>0</v>
      </c>
      <c r="AH8" s="141"/>
      <c r="AI8" s="187">
        <v>365</v>
      </c>
      <c r="AJ8" s="188"/>
      <c r="AK8" s="189">
        <v>1.4999999999999999E-2</v>
      </c>
      <c r="AL8" s="190">
        <v>1.5E-3</v>
      </c>
      <c r="AM8" s="3058">
        <v>0.01</v>
      </c>
      <c r="AN8" s="2413" t="s">
        <v>3090</v>
      </c>
      <c r="AO8" s="1997"/>
      <c r="AP8" s="1203">
        <f t="shared" si="8"/>
        <v>0.88600000000000001</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c r="A9" s="2299" t="str">
        <f>'数据-汇总表'!C22</f>
        <v>地下车库</v>
      </c>
      <c r="B9" s="2334" t="str">
        <f t="shared" si="1"/>
        <v>经营性</v>
      </c>
      <c r="C9" s="173" t="s">
        <v>3076</v>
      </c>
      <c r="D9" s="2305">
        <f>SUMIF(项目基本情况!D$15:I$15,C9,项目基本情况!D$18:I$18)</f>
        <v>50</v>
      </c>
      <c r="E9" s="2306">
        <f>IF(B9="","",SUMIF(项目基本情况!D$15:I$15,C9,项目基本情况!D$17:I$17))</f>
        <v>61237</v>
      </c>
      <c r="F9" s="174">
        <f>SUMIF(项目基本情况!D$15:I$15,C9,项目基本情况!D$19:I$19)</f>
        <v>49.32</v>
      </c>
      <c r="G9" s="175">
        <f t="shared" si="2"/>
        <v>0.996</v>
      </c>
      <c r="H9" s="176">
        <v>4.4999999999999998E-2</v>
      </c>
      <c r="I9" s="176">
        <v>0.05</v>
      </c>
      <c r="J9" s="176">
        <v>0.08</v>
      </c>
      <c r="K9" s="179">
        <f>SUMIF('数据-汇总表'!C$19:C$33,'数据-取费表'!A9,'数据-汇总表'!E$19:E$33)</f>
        <v>27013.690000000002</v>
      </c>
      <c r="L9" s="3254">
        <f>L8</f>
        <v>2600</v>
      </c>
      <c r="M9" s="177">
        <f t="shared" si="0"/>
        <v>7024</v>
      </c>
      <c r="N9" s="193">
        <v>0</v>
      </c>
      <c r="O9" s="177">
        <f t="shared" si="3"/>
        <v>0</v>
      </c>
      <c r="P9" s="178">
        <f t="shared" si="4"/>
        <v>7024</v>
      </c>
      <c r="Q9" s="192">
        <v>0.05</v>
      </c>
      <c r="R9" s="179">
        <f>SUMIF('数据-汇总表'!C$19:C$33,A9,'数据-汇总表'!R$19:R$33)</f>
        <v>10932.09</v>
      </c>
      <c r="S9" s="132">
        <f>IF('数据-汇总表'!$I$17="按面积比例",SUMIF('数据-汇总表'!C$19:C$33,A9,'数据-汇总表'!K$19:K$33),SUMIF('数据-汇总表'!C$19:C$33,A9,'数据-汇总表'!N$19:N$33))</f>
        <v>5016.3599999999997</v>
      </c>
      <c r="T9" s="2231">
        <f t="shared" si="5"/>
        <v>1304</v>
      </c>
      <c r="U9" s="183">
        <v>800</v>
      </c>
      <c r="V9" s="176">
        <v>2.5000000000000001E-2</v>
      </c>
      <c r="W9" s="176">
        <v>0.05</v>
      </c>
      <c r="X9" s="2318"/>
      <c r="Y9" s="182">
        <v>1</v>
      </c>
      <c r="Z9" s="183"/>
      <c r="AA9" s="176"/>
      <c r="AB9" s="176"/>
      <c r="AC9" s="2321"/>
      <c r="AD9" s="184"/>
      <c r="AE9" s="971">
        <f t="shared" ca="1" si="6"/>
        <v>47.32</v>
      </c>
      <c r="AF9" s="141"/>
      <c r="AG9" s="1212">
        <f t="shared" si="7"/>
        <v>0</v>
      </c>
      <c r="AH9" s="141">
        <v>771</v>
      </c>
      <c r="AI9" s="187">
        <v>12</v>
      </c>
      <c r="AJ9" s="188"/>
      <c r="AK9" s="189">
        <v>1.4999999999999999E-2</v>
      </c>
      <c r="AL9" s="190">
        <v>1.5E-3</v>
      </c>
      <c r="AM9" s="3058">
        <v>0.01</v>
      </c>
      <c r="AN9" s="2413" t="s">
        <v>3088</v>
      </c>
      <c r="AO9" s="1997">
        <f>K9/35</f>
        <v>771.81971428571433</v>
      </c>
      <c r="AP9" s="1203">
        <f t="shared" si="8"/>
        <v>0.88600000000000001</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c r="A10" s="2299" t="str">
        <f>'数据-汇总表'!C23</f>
        <v>商业</v>
      </c>
      <c r="B10" s="2334" t="str">
        <f t="shared" si="1"/>
        <v>经营性</v>
      </c>
      <c r="C10" s="173" t="s">
        <v>2988</v>
      </c>
      <c r="D10" s="2305">
        <f>SUMIF(项目基本情况!D$15:I$15,C10,项目基本情况!D$18:I$18)</f>
        <v>40</v>
      </c>
      <c r="E10" s="2306">
        <f>IF(B10="","",SUMIF(项目基本情况!D$15:I$15,C10,项目基本情况!D$17:I$17))</f>
        <v>57585</v>
      </c>
      <c r="F10" s="174">
        <f>SUMIF(项目基本情况!D$15:I$15,C10,项目基本情况!D$19:I$19)</f>
        <v>39.31</v>
      </c>
      <c r="G10" s="175">
        <f t="shared" si="2"/>
        <v>0.99399999999999999</v>
      </c>
      <c r="H10" s="176">
        <v>0.05</v>
      </c>
      <c r="I10" s="176">
        <v>5.5E-2</v>
      </c>
      <c r="J10" s="176">
        <v>0.08</v>
      </c>
      <c r="K10" s="179">
        <f>SUMIF('数据-汇总表'!C$19:C$33,'数据-取费表'!A10,'数据-汇总表'!E$19:E$33)</f>
        <v>1066.56</v>
      </c>
      <c r="L10" s="3254">
        <f>L9</f>
        <v>2600</v>
      </c>
      <c r="M10" s="177">
        <f t="shared" si="0"/>
        <v>277</v>
      </c>
      <c r="N10" s="193">
        <v>0</v>
      </c>
      <c r="O10" s="177">
        <f t="shared" si="3"/>
        <v>0</v>
      </c>
      <c r="P10" s="178">
        <f t="shared" si="4"/>
        <v>277</v>
      </c>
      <c r="Q10" s="192">
        <v>0.15</v>
      </c>
      <c r="R10" s="179">
        <f>SUMIF('数据-汇总表'!C$19:C$33,A10,'数据-汇总表'!R$19:R$33)</f>
        <v>431.62</v>
      </c>
      <c r="S10" s="132">
        <f>IF('数据-汇总表'!$I$17="按面积比例",SUMIF('数据-汇总表'!C$19:C$33,A10,'数据-汇总表'!K$19:K$33),SUMIF('数据-汇总表'!C$19:C$33,A10,'数据-汇总表'!N$19:N$33))</f>
        <v>198.06</v>
      </c>
      <c r="T10" s="2231">
        <f t="shared" si="5"/>
        <v>51</v>
      </c>
      <c r="U10" s="183">
        <v>2.5</v>
      </c>
      <c r="V10" s="176">
        <v>0.03</v>
      </c>
      <c r="W10" s="176">
        <v>0.05</v>
      </c>
      <c r="X10" s="2318"/>
      <c r="Y10" s="182">
        <v>1</v>
      </c>
      <c r="Z10" s="183"/>
      <c r="AA10" s="176"/>
      <c r="AB10" s="176"/>
      <c r="AC10" s="2321"/>
      <c r="AD10" s="184"/>
      <c r="AE10" s="971">
        <f t="shared" ca="1" si="6"/>
        <v>37.31</v>
      </c>
      <c r="AF10" s="141"/>
      <c r="AG10" s="1212">
        <f t="shared" si="7"/>
        <v>0</v>
      </c>
      <c r="AH10" s="141"/>
      <c r="AI10" s="187">
        <v>365</v>
      </c>
      <c r="AJ10" s="188"/>
      <c r="AK10" s="189">
        <v>1.4999999999999999E-2</v>
      </c>
      <c r="AL10" s="190">
        <v>1.5E-3</v>
      </c>
      <c r="AM10" s="3058">
        <v>0.01</v>
      </c>
      <c r="AN10" s="2413" t="s">
        <v>3086</v>
      </c>
      <c r="AO10" s="1997"/>
      <c r="AP10" s="1203">
        <f t="shared" si="8"/>
        <v>0.85299999999999998</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54"/>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f t="shared" si="5"/>
        <v>0</v>
      </c>
      <c r="U11" s="185"/>
      <c r="V11" s="176"/>
      <c r="W11" s="176"/>
      <c r="X11" s="2321"/>
      <c r="Y11" s="182"/>
      <c r="Z11" s="194"/>
      <c r="AA11" s="176"/>
      <c r="AB11" s="176"/>
      <c r="AC11" s="2321"/>
      <c r="AD11" s="184"/>
      <c r="AE11" s="971">
        <f t="shared" ca="1" si="6"/>
        <v>0</v>
      </c>
      <c r="AF11" s="141"/>
      <c r="AG11" s="1212">
        <f t="shared" si="7"/>
        <v>0</v>
      </c>
      <c r="AH11" s="141"/>
      <c r="AI11" s="187"/>
      <c r="AJ11" s="188"/>
      <c r="AK11" s="195"/>
      <c r="AL11" s="196"/>
      <c r="AM11" s="1814"/>
      <c r="AN11" s="2413"/>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54"/>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f t="shared" si="5"/>
        <v>0</v>
      </c>
      <c r="U12" s="185"/>
      <c r="V12" s="176"/>
      <c r="W12" s="176"/>
      <c r="X12" s="2321"/>
      <c r="Y12" s="182"/>
      <c r="Z12" s="194"/>
      <c r="AA12" s="176"/>
      <c r="AB12" s="176"/>
      <c r="AC12" s="2321"/>
      <c r="AD12" s="184"/>
      <c r="AE12" s="971">
        <f t="shared" ca="1" si="6"/>
        <v>0</v>
      </c>
      <c r="AF12" s="141"/>
      <c r="AG12" s="1212">
        <f t="shared" si="7"/>
        <v>0</v>
      </c>
      <c r="AH12" s="141"/>
      <c r="AI12" s="187"/>
      <c r="AJ12" s="188"/>
      <c r="AK12" s="195"/>
      <c r="AL12" s="196"/>
      <c r="AM12" s="1814"/>
      <c r="AN12" s="2413"/>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54"/>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411"/>
      <c r="AN13" s="2413"/>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2313</v>
      </c>
      <c r="B14" s="2303" t="s">
        <v>1676</v>
      </c>
      <c r="C14" s="2304" t="s">
        <v>2313</v>
      </c>
      <c r="D14" s="2305"/>
      <c r="E14" s="2306"/>
      <c r="F14" s="174"/>
      <c r="G14" s="175"/>
      <c r="H14" s="2307"/>
      <c r="I14" s="2307"/>
      <c r="J14" s="2307"/>
      <c r="K14" s="179">
        <f>SUMIF('数据-汇总表'!C$19:C$33,'数据-取费表'!A14,'数据-汇总表'!E$19:E$33)</f>
        <v>28484.040000000005</v>
      </c>
      <c r="L14" s="3254">
        <f>L9</f>
        <v>2600</v>
      </c>
      <c r="M14" s="177">
        <f t="shared" si="0"/>
        <v>7406</v>
      </c>
      <c r="N14" s="193">
        <v>0</v>
      </c>
      <c r="O14" s="177">
        <f t="shared" si="3"/>
        <v>0</v>
      </c>
      <c r="P14" s="178">
        <f t="shared" si="4"/>
        <v>7406</v>
      </c>
      <c r="Q14" s="2315"/>
      <c r="R14" s="179"/>
      <c r="S14" s="132"/>
      <c r="T14" s="2314"/>
      <c r="U14" s="973"/>
      <c r="V14" s="2317"/>
      <c r="W14" s="2317"/>
      <c r="X14" s="2318"/>
      <c r="Y14" s="2319"/>
      <c r="Z14" s="136"/>
      <c r="AA14" s="2320"/>
      <c r="AB14" s="2320"/>
      <c r="AC14" s="2321"/>
      <c r="AD14" s="2318"/>
      <c r="AE14" s="971"/>
      <c r="AF14" s="2293"/>
      <c r="AG14" s="1212"/>
      <c r="AH14" s="2293"/>
      <c r="AI14" s="1568"/>
      <c r="AJ14" s="1568"/>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2315</v>
      </c>
      <c r="B15" s="2303" t="s">
        <v>1676</v>
      </c>
      <c r="C15" s="2304" t="s">
        <v>2314</v>
      </c>
      <c r="D15" s="2305"/>
      <c r="E15" s="2306"/>
      <c r="F15" s="174"/>
      <c r="G15" s="175"/>
      <c r="H15" s="2307"/>
      <c r="I15" s="2307"/>
      <c r="J15" s="2307"/>
      <c r="K15" s="179">
        <f>SUMIF('数据-汇总表'!C$19:C$33,'数据-取费表'!A15,'数据-汇总表'!E$19:E$33)</f>
        <v>77.760000000000005</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68"/>
      <c r="AJ15" s="1568"/>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7" t="s">
        <v>258</v>
      </c>
      <c r="B16" s="198"/>
      <c r="C16" s="199"/>
      <c r="D16" s="200"/>
      <c r="E16" s="198"/>
      <c r="F16" s="198"/>
      <c r="G16" s="201">
        <f>ROUND(SUMPRODUCT(G6:G13,K6:K13)/SUMPRODUCT((G6:G13&gt;0)*(K6:K13)),3)</f>
        <v>0.997</v>
      </c>
      <c r="H16" s="202">
        <f>ROUND(SUMPRODUCT(H6:H13,K6:K13)/SUMPRODUCT((H6:H13&gt;0)*(K6:K13)),3)</f>
        <v>4.2000000000000003E-2</v>
      </c>
      <c r="I16" s="203"/>
      <c r="J16" s="203"/>
      <c r="K16" s="204">
        <f>SUM(K6:K15)</f>
        <v>181951.64</v>
      </c>
      <c r="L16" s="205">
        <f>ROUND(M16*10000/SUM(K6:K14),0)</f>
        <v>2600</v>
      </c>
      <c r="M16" s="205">
        <f>SUM(M6:M14)</f>
        <v>47287</v>
      </c>
      <c r="N16" s="206">
        <f>ROUND(SUMPRODUCT(M6:M14,N6:N14)/M16,3)</f>
        <v>0</v>
      </c>
      <c r="O16" s="205">
        <f>SUM(O6:O14)</f>
        <v>0</v>
      </c>
      <c r="P16" s="205">
        <f>SUM(P6:P14)</f>
        <v>47287</v>
      </c>
      <c r="Q16" s="207">
        <f>ROUND(SUMPRODUCT(Q6:Q13,K6:K13)/SUMPRODUCT((Q6:Q13&gt;0)*(K6:K13)),2)</f>
        <v>0.08</v>
      </c>
      <c r="R16" s="2308">
        <f>SUM(R6:R13)</f>
        <v>62101.4</v>
      </c>
      <c r="S16" s="208">
        <f>SUM(S6:S13)</f>
        <v>28484.05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7"/>
      <c r="AO16" s="1997"/>
      <c r="AP16" s="1203">
        <f>ROUND(SUMPRODUCT(AP6:AP13,K6:K13)/SUMPRODUCT((AP6:AP13&gt;0)*(K6:K13)),3)</f>
        <v>0.91600000000000004</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259</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6" t="s">
        <v>260</v>
      </c>
      <c r="B19" s="217">
        <v>0</v>
      </c>
      <c r="C19" s="2361" t="s">
        <v>2335</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8" t="s">
        <v>261</v>
      </c>
      <c r="B20" s="219">
        <v>2</v>
      </c>
      <c r="C20" s="2361" t="s">
        <v>2334</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0" t="s">
        <v>262</v>
      </c>
      <c r="B21" s="219">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8" t="s">
        <v>263</v>
      </c>
      <c r="B22" s="221">
        <f>B19+B20</f>
        <v>2</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0" t="s">
        <v>264</v>
      </c>
      <c r="B23" s="221">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2" t="s">
        <v>265</v>
      </c>
      <c r="B24" s="223">
        <f>B20-B21</f>
        <v>2</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266</v>
      </c>
      <c r="B26" s="224" t="s">
        <v>267</v>
      </c>
      <c r="C26" s="1992" t="s">
        <v>268</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5" t="s">
        <v>2337</v>
      </c>
      <c r="B27" s="226">
        <v>150</v>
      </c>
      <c r="C27" s="2364" t="s">
        <v>2341</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7" t="s">
        <v>2338</v>
      </c>
      <c r="B28" s="228">
        <v>190</v>
      </c>
      <c r="C28" s="2363"/>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0" t="s">
        <v>2336</v>
      </c>
      <c r="B29" s="231"/>
      <c r="C29" s="1549" t="s">
        <v>2339</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4" t="s">
        <v>269</v>
      </c>
      <c r="B30" s="977">
        <v>180</v>
      </c>
      <c r="C30" s="2363"/>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7" t="s">
        <v>270</v>
      </c>
      <c r="B31" s="229">
        <f>B30-B32</f>
        <v>130</v>
      </c>
      <c r="C31" s="2364"/>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271</v>
      </c>
      <c r="B32" s="3247">
        <v>50</v>
      </c>
      <c r="C32" s="2363"/>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5" t="s">
        <v>274</v>
      </c>
      <c r="B33" s="1375">
        <v>0.03</v>
      </c>
      <c r="C33" s="2362" t="s">
        <v>2894</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7" t="s">
        <v>275</v>
      </c>
      <c r="B34" s="232">
        <v>0.05</v>
      </c>
      <c r="C34" s="2362" t="s">
        <v>2895</v>
      </c>
      <c r="D34" s="1990" t="s">
        <v>867</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7" t="s">
        <v>272</v>
      </c>
      <c r="B35" s="228">
        <f>B30</f>
        <v>180</v>
      </c>
      <c r="C35" s="2362" t="s">
        <v>2896</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0" t="s">
        <v>273</v>
      </c>
      <c r="B36" s="233">
        <v>1.4999999999999999E-2</v>
      </c>
      <c r="C36" s="2362" t="s">
        <v>2897</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4" t="s">
        <v>276</v>
      </c>
      <c r="B37" s="235">
        <v>0.02</v>
      </c>
      <c r="C37" s="2362" t="s">
        <v>2898</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7" t="s">
        <v>277</v>
      </c>
      <c r="B38" s="232">
        <v>0.02</v>
      </c>
      <c r="C38" s="2362" t="s">
        <v>2898</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510" t="s">
        <v>2456</v>
      </c>
      <c r="B39" s="799">
        <f ca="1">存贷款利率!C4</f>
        <v>1.4999999999999999E-2</v>
      </c>
      <c r="C39" s="2362"/>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510" t="s">
        <v>2457</v>
      </c>
      <c r="B40" s="2502">
        <f ca="1">存贷款利率!E2</f>
        <v>4.7500000000000001E-2</v>
      </c>
      <c r="C40" s="2362" t="s">
        <v>2340</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5" t="s">
        <v>278</v>
      </c>
      <c r="B41" s="237">
        <f>B42+B43</f>
        <v>5.5000000000000007E-2</v>
      </c>
      <c r="C41" s="2364"/>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279</v>
      </c>
      <c r="B42" s="239">
        <v>0.05</v>
      </c>
      <c r="C42" s="3118">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280</v>
      </c>
      <c r="B43" s="240">
        <f>B42*(B44+B45+B46)+B47</f>
        <v>5.000000000000001E-3</v>
      </c>
      <c r="C43" s="2364"/>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281</v>
      </c>
      <c r="B44" s="241">
        <v>0.05</v>
      </c>
      <c r="C44" s="2362" t="s">
        <v>2899</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282</v>
      </c>
      <c r="B45" s="239">
        <v>0.03</v>
      </c>
      <c r="C45" s="2364" t="s">
        <v>2900</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283</v>
      </c>
      <c r="B46" s="239">
        <v>0.02</v>
      </c>
      <c r="C46" s="2364" t="s">
        <v>2901</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284</v>
      </c>
      <c r="B47" s="243"/>
      <c r="C47" s="3093" t="s">
        <v>2902</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285</v>
      </c>
      <c r="B48" s="245">
        <v>0.03</v>
      </c>
      <c r="C48" s="3094" t="s">
        <v>2903</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286</v>
      </c>
      <c r="B49" s="239">
        <v>5.0000000000000001E-4</v>
      </c>
      <c r="C49" s="3094" t="s">
        <v>2904</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287</v>
      </c>
      <c r="B50" s="247">
        <v>1.2E-2</v>
      </c>
      <c r="C50" s="2363"/>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0" t="s">
        <v>288</v>
      </c>
      <c r="B51" s="248">
        <v>0.12</v>
      </c>
      <c r="C51" s="2363"/>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289</v>
      </c>
      <c r="B52" s="249">
        <f>SUMIF(A54:A63,B53,B54:B63)</f>
        <v>1.5</v>
      </c>
      <c r="C52" s="2363"/>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7" t="s">
        <v>290</v>
      </c>
      <c r="B53" s="250" t="s">
        <v>1406</v>
      </c>
      <c r="C53" s="3095" t="s">
        <v>2905</v>
      </c>
      <c r="D53" s="3096" t="s">
        <v>2906</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98" t="s">
        <v>2907</v>
      </c>
      <c r="B54" s="186"/>
      <c r="C54" s="1991">
        <v>30</v>
      </c>
      <c r="D54" s="3097"/>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98" t="s">
        <v>2908</v>
      </c>
      <c r="B55" s="186"/>
      <c r="C55" s="1991">
        <v>24</v>
      </c>
      <c r="D55" s="3097"/>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98" t="s">
        <v>2909</v>
      </c>
      <c r="B56" s="186"/>
      <c r="C56" s="1991">
        <v>18</v>
      </c>
      <c r="D56" s="3097"/>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98" t="s">
        <v>2910</v>
      </c>
      <c r="B57" s="186"/>
      <c r="C57" s="1991">
        <v>12</v>
      </c>
      <c r="D57" s="3097"/>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98" t="s">
        <v>2911</v>
      </c>
      <c r="B58" s="186"/>
      <c r="C58" s="1991">
        <v>3</v>
      </c>
      <c r="D58" s="3097"/>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98" t="s">
        <v>2912</v>
      </c>
      <c r="B59" s="186">
        <v>1.5</v>
      </c>
      <c r="C59" s="1991">
        <v>1.5</v>
      </c>
      <c r="D59" s="3097"/>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98" t="s">
        <v>2913</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98" t="s">
        <v>2914</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98" t="s">
        <v>2915</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99" t="s">
        <v>2916</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7" sqref="G7"/>
    </sheetView>
  </sheetViews>
  <sheetFormatPr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344" t="s">
        <v>1660</v>
      </c>
      <c r="B1" s="3345"/>
      <c r="C1" s="3345"/>
      <c r="D1" s="3345"/>
      <c r="E1" s="3345"/>
      <c r="F1" s="3345"/>
      <c r="G1" s="3345"/>
      <c r="H1" s="1999"/>
      <c r="I1" s="2000"/>
      <c r="J1" s="2001"/>
      <c r="K1" s="1999"/>
      <c r="L1" s="2000"/>
      <c r="M1" s="2001"/>
      <c r="N1" s="1999"/>
      <c r="O1" s="2000"/>
      <c r="P1" s="2001"/>
      <c r="Q1" s="2002"/>
      <c r="R1" s="2003"/>
    </row>
    <row r="2" spans="1:18" ht="14.25" thickBot="1">
      <c r="A2" s="1220"/>
      <c r="B2" s="1221"/>
      <c r="C2" s="1222" t="s">
        <v>1661</v>
      </c>
      <c r="D2" s="1223"/>
      <c r="E2" s="1224"/>
      <c r="F2" s="1225"/>
      <c r="G2" s="1222" t="s">
        <v>1662</v>
      </c>
      <c r="H2" s="2005"/>
      <c r="I2" s="2005"/>
      <c r="J2" s="2005"/>
      <c r="K2" s="2005"/>
      <c r="L2" s="2005"/>
      <c r="M2" s="2005"/>
      <c r="N2" s="2005"/>
      <c r="O2" s="2005"/>
      <c r="P2" s="2005"/>
      <c r="Q2" s="2005"/>
      <c r="R2" s="2005"/>
    </row>
    <row r="3" spans="1:18" ht="67.5">
      <c r="A3" s="1226" t="s">
        <v>1663</v>
      </c>
      <c r="B3" s="1227" t="s">
        <v>1650</v>
      </c>
      <c r="C3" s="3226" t="s">
        <v>3148</v>
      </c>
      <c r="D3" s="2006"/>
      <c r="E3" s="1228" t="s">
        <v>1663</v>
      </c>
      <c r="F3" s="1229" t="s">
        <v>1651</v>
      </c>
      <c r="G3" s="3103" t="s">
        <v>2921</v>
      </c>
      <c r="H3" s="2005"/>
      <c r="I3" s="2005"/>
      <c r="J3" s="2005"/>
      <c r="K3" s="2005"/>
      <c r="L3" s="2005"/>
      <c r="M3" s="2005"/>
      <c r="N3" s="2005"/>
      <c r="O3" s="2005"/>
      <c r="P3" s="2005"/>
      <c r="Q3" s="2005"/>
      <c r="R3" s="2005"/>
    </row>
    <row r="4" spans="1:18" ht="41.25">
      <c r="A4" s="1228"/>
      <c r="B4" s="1230" t="s">
        <v>1664</v>
      </c>
      <c r="C4" s="3100" t="s">
        <v>2922</v>
      </c>
      <c r="D4" s="2006"/>
      <c r="E4" s="1231"/>
      <c r="F4" s="1232" t="s">
        <v>1665</v>
      </c>
      <c r="G4" s="3101" t="s">
        <v>2918</v>
      </c>
      <c r="H4" s="2005"/>
      <c r="I4" s="2005"/>
      <c r="J4" s="2005"/>
      <c r="K4" s="2005"/>
      <c r="L4" s="2005"/>
      <c r="M4" s="2005"/>
      <c r="N4" s="2005"/>
      <c r="O4" s="2005"/>
      <c r="P4" s="2005"/>
      <c r="Q4" s="2005"/>
      <c r="R4" s="2005"/>
    </row>
    <row r="5" spans="1:18" ht="41.25">
      <c r="A5" s="1228"/>
      <c r="B5" s="1230" t="s">
        <v>1666</v>
      </c>
      <c r="C5" s="3100" t="s">
        <v>3155</v>
      </c>
      <c r="D5" s="2006"/>
      <c r="E5" s="1231"/>
      <c r="F5" s="1230" t="s">
        <v>2546</v>
      </c>
      <c r="G5" s="3101" t="s">
        <v>2919</v>
      </c>
      <c r="H5" s="2005"/>
      <c r="I5" s="2005"/>
      <c r="J5" s="2005"/>
      <c r="K5" s="2005"/>
      <c r="L5" s="2005"/>
      <c r="M5" s="2005"/>
      <c r="N5" s="2005"/>
      <c r="O5" s="2005"/>
      <c r="P5" s="2005"/>
      <c r="Q5" s="2005"/>
      <c r="R5" s="2005"/>
    </row>
    <row r="6" spans="1:18" ht="67.5">
      <c r="A6" s="1228"/>
      <c r="B6" s="1230" t="s">
        <v>1652</v>
      </c>
      <c r="C6" s="3228" t="s">
        <v>3156</v>
      </c>
      <c r="D6" s="2006"/>
      <c r="E6" s="1231"/>
      <c r="F6" s="1230" t="s">
        <v>2547</v>
      </c>
      <c r="G6" s="3101" t="s">
        <v>2917</v>
      </c>
      <c r="H6" s="2005"/>
      <c r="I6" s="2005"/>
      <c r="J6" s="2005"/>
      <c r="K6" s="2005"/>
      <c r="L6" s="2005"/>
      <c r="M6" s="2005"/>
      <c r="N6" s="2005"/>
      <c r="O6" s="2005"/>
      <c r="P6" s="2005"/>
      <c r="Q6" s="2005"/>
      <c r="R6" s="2005"/>
    </row>
    <row r="7" spans="1:18" ht="41.25" thickBot="1">
      <c r="A7" s="1228"/>
      <c r="B7" s="1230" t="s">
        <v>2546</v>
      </c>
      <c r="C7" s="3101" t="s">
        <v>2919</v>
      </c>
      <c r="D7" s="2007"/>
      <c r="E7" s="1233"/>
      <c r="F7" s="1234" t="s">
        <v>1667</v>
      </c>
      <c r="G7" s="3104" t="s">
        <v>2920</v>
      </c>
      <c r="H7" s="2005"/>
      <c r="I7" s="2005"/>
      <c r="J7" s="2005"/>
      <c r="K7" s="2005"/>
      <c r="L7" s="2005"/>
      <c r="M7" s="2005"/>
      <c r="N7" s="2005"/>
      <c r="O7" s="2005"/>
      <c r="P7" s="2005"/>
      <c r="Q7" s="2005"/>
      <c r="R7" s="2005"/>
    </row>
    <row r="8" spans="1:18" ht="27">
      <c r="A8" s="1228"/>
      <c r="B8" s="1230" t="s">
        <v>2547</v>
      </c>
      <c r="C8" s="3101" t="s">
        <v>2917</v>
      </c>
      <c r="D8" s="2007"/>
      <c r="E8" s="2007"/>
      <c r="F8" s="1550"/>
      <c r="G8" s="1550"/>
      <c r="H8" s="2005"/>
      <c r="I8" s="2005"/>
      <c r="J8" s="2005"/>
      <c r="K8" s="2005"/>
      <c r="L8" s="2005"/>
      <c r="M8" s="2005"/>
      <c r="N8" s="2005"/>
      <c r="O8" s="2005"/>
      <c r="P8" s="2005"/>
      <c r="Q8" s="2005"/>
      <c r="R8" s="2005"/>
    </row>
    <row r="9" spans="1:18" ht="67.5">
      <c r="A9" s="1228"/>
      <c r="B9" s="1230" t="s">
        <v>1653</v>
      </c>
      <c r="C9" s="3231" t="s">
        <v>3160</v>
      </c>
      <c r="D9" s="2006"/>
      <c r="E9" s="2007"/>
      <c r="F9" s="1550"/>
      <c r="G9" s="1550"/>
      <c r="H9" s="2005"/>
      <c r="I9" s="2005"/>
      <c r="J9" s="2005"/>
      <c r="K9" s="2005"/>
      <c r="L9" s="2005"/>
      <c r="M9" s="2005"/>
      <c r="N9" s="2005"/>
      <c r="O9" s="2005"/>
      <c r="P9" s="2005"/>
      <c r="Q9" s="2005"/>
      <c r="R9" s="2005"/>
    </row>
    <row r="10" spans="1:18" s="2013" customFormat="1" ht="15" thickBot="1">
      <c r="A10" s="1235"/>
      <c r="B10" s="1236" t="s">
        <v>1668</v>
      </c>
      <c r="C10" s="3102"/>
      <c r="D10" s="2006"/>
      <c r="E10" s="2006"/>
      <c r="F10" s="1550"/>
      <c r="G10" s="1550"/>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99"/>
      <c r="E12" s="2006"/>
      <c r="F12" s="2007"/>
      <c r="G12" s="2009"/>
      <c r="H12" s="2014"/>
      <c r="I12" s="2015"/>
      <c r="J12" s="2014"/>
      <c r="K12" s="2014"/>
      <c r="L12" s="2016"/>
      <c r="M12" s="2014"/>
      <c r="N12" s="2017"/>
      <c r="O12" s="2018"/>
      <c r="P12" s="2019"/>
      <c r="Q12" s="2017"/>
      <c r="R12" s="2003"/>
    </row>
    <row r="13" spans="1:18" ht="19.5" thickBot="1">
      <c r="A13" s="2598" t="s">
        <v>1669</v>
      </c>
      <c r="B13" s="2599"/>
      <c r="C13" s="2599"/>
      <c r="D13" s="1223"/>
      <c r="E13" s="2599"/>
      <c r="F13" s="2599"/>
      <c r="G13" s="2599"/>
    </row>
    <row r="14" spans="1:18" ht="14.25" thickBot="1">
      <c r="A14" s="1237"/>
      <c r="B14" s="1238"/>
      <c r="C14" s="1239" t="s">
        <v>1661</v>
      </c>
      <c r="D14" s="2006"/>
      <c r="E14" s="1240"/>
      <c r="F14" s="1240"/>
      <c r="G14" s="1222" t="s">
        <v>1662</v>
      </c>
    </row>
    <row r="15" spans="1:18" ht="67.5">
      <c r="A15" s="2609" t="s">
        <v>1654</v>
      </c>
      <c r="B15" s="1241" t="s">
        <v>1650</v>
      </c>
      <c r="C15" s="1242" t="str">
        <f>C3</f>
        <v>估价对象周边居住用地比例、居住小区规模和社区发展完善程度，周边有天恒摩墅等住宅项目，综合评价居住社区成熟度一般</v>
      </c>
      <c r="D15" s="2006"/>
      <c r="E15" s="2606" t="s">
        <v>1655</v>
      </c>
      <c r="F15" s="1241" t="s">
        <v>1670</v>
      </c>
      <c r="G15" s="1243" t="str">
        <f>G3</f>
        <v>估价对象位于XX开发区，园区建设成熟度XX，产业集聚程度XX</v>
      </c>
    </row>
    <row r="16" spans="1:18" ht="40.5">
      <c r="A16" s="2610"/>
      <c r="B16" s="1244" t="s">
        <v>1664</v>
      </c>
      <c r="C16" s="1245" t="str">
        <f>C4</f>
        <v>估价对象位于XX商圈，周边商业氛围成熟，人流量大，商业繁华度好</v>
      </c>
      <c r="D16" s="2006"/>
      <c r="E16" s="2607"/>
      <c r="F16" s="1246" t="s">
        <v>1665</v>
      </c>
      <c r="G16" s="1004" t="str">
        <f>G4</f>
        <v>估价对象周边道路状况、公共交通通达情况、停车便捷程度，综合评价交通便捷度较好</v>
      </c>
    </row>
    <row r="17" spans="1:7" ht="40.5">
      <c r="A17" s="2610"/>
      <c r="B17" s="1244" t="s">
        <v>1666</v>
      </c>
      <c r="C17" s="1245" t="str">
        <f>C5</f>
        <v>估价对象位于XX商圈，周边办公楼项目较多，入驻率高，办公集聚程度较好</v>
      </c>
      <c r="D17" s="2007"/>
      <c r="E17" s="2607"/>
      <c r="F17" s="1246" t="s">
        <v>1671</v>
      </c>
      <c r="G17" s="2815"/>
    </row>
    <row r="18" spans="1:7" ht="67.5">
      <c r="A18" s="2610"/>
      <c r="B18" s="1246" t="s">
        <v>1652</v>
      </c>
      <c r="C18" s="1004" t="str">
        <f>C6</f>
        <v>估价对象周边道路状况、公共交通通达情况：有836、917、房12等多路公交车，停车便捷程度，综合评价交通便捷度一般</v>
      </c>
      <c r="D18" s="2007"/>
      <c r="E18" s="2607"/>
      <c r="F18" s="1246" t="s">
        <v>1667</v>
      </c>
      <c r="G18" s="1004" t="str">
        <f>G7</f>
        <v>该园区内是否有污染型企业，绿化情况，卫生条件，整体环境状况判断</v>
      </c>
    </row>
    <row r="19" spans="1:7" ht="27">
      <c r="A19" s="2610"/>
      <c r="B19" s="1246" t="s">
        <v>1656</v>
      </c>
      <c r="C19" s="2815"/>
      <c r="D19" s="2006"/>
      <c r="E19" s="2607"/>
      <c r="F19" s="1230" t="s">
        <v>2546</v>
      </c>
      <c r="G19" s="1004" t="str">
        <f>G5</f>
        <v>估价对象所在区域公共配套设施齐备情况</v>
      </c>
    </row>
    <row r="20" spans="1:7" ht="67.5">
      <c r="A20" s="2610"/>
      <c r="B20" s="1246" t="s">
        <v>1657</v>
      </c>
      <c r="C20" s="1245" t="str">
        <f>C9</f>
        <v>周边2公里区域自然环境：牛口峪公园、周口店人民公园；人文环境：北京猿人遗址；综合评价环境状况较好</v>
      </c>
      <c r="D20" s="2007"/>
      <c r="E20" s="2607"/>
      <c r="F20" s="1230" t="s">
        <v>2547</v>
      </c>
      <c r="G20" s="1004" t="str">
        <f>G6</f>
        <v>估价对象所在区域基础设施水平</v>
      </c>
    </row>
    <row r="21" spans="1:7" ht="27">
      <c r="A21" s="2610"/>
      <c r="B21" s="1230" t="s">
        <v>2546</v>
      </c>
      <c r="C21" s="1004" t="str">
        <f>C7</f>
        <v>估价对象所在区域公共配套设施齐备情况</v>
      </c>
      <c r="D21" s="2006"/>
      <c r="E21" s="2607"/>
      <c r="F21" s="1246" t="s">
        <v>1658</v>
      </c>
      <c r="G21" s="3105"/>
    </row>
    <row r="22" spans="1:7" ht="27">
      <c r="A22" s="2610"/>
      <c r="B22" s="1230" t="s">
        <v>2547</v>
      </c>
      <c r="C22" s="1004" t="str">
        <f>C8</f>
        <v>估价对象所在区域基础设施水平</v>
      </c>
      <c r="D22" s="2006"/>
      <c r="E22" s="2607"/>
      <c r="F22" s="1246" t="s">
        <v>1668</v>
      </c>
      <c r="G22" s="2815"/>
    </row>
    <row r="23" spans="1:7" ht="15" thickBot="1">
      <c r="A23" s="2610"/>
      <c r="B23" s="1246" t="s">
        <v>1658</v>
      </c>
      <c r="C23" s="3105"/>
      <c r="E23" s="2608"/>
      <c r="F23" s="1247" t="s">
        <v>1672</v>
      </c>
      <c r="G23" s="3106"/>
    </row>
    <row r="24" spans="1:7" ht="14.25" thickBot="1">
      <c r="A24" s="2611"/>
      <c r="B24" s="1247" t="s">
        <v>1659</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5" sqref="B5"/>
    </sheetView>
  </sheetViews>
  <sheetFormatPr defaultColWidth="14.625" defaultRowHeight="13.5"/>
  <cols>
    <col min="1" max="1" width="24.375" customWidth="1"/>
  </cols>
  <sheetData>
    <row r="1" spans="1:9" ht="16.5">
      <c r="A1" s="3064" t="s">
        <v>2844</v>
      </c>
      <c r="B1" s="3064">
        <f>SUM(B14:B23)</f>
        <v>249885</v>
      </c>
      <c r="C1" s="3065"/>
      <c r="D1" s="3065"/>
      <c r="E1" s="3065"/>
      <c r="F1" s="3065"/>
    </row>
    <row r="2" spans="1:9" ht="16.5">
      <c r="A2" s="3064" t="s">
        <v>2845</v>
      </c>
      <c r="B2" s="3064">
        <f>SUM(C14:C23)</f>
        <v>85011.56</v>
      </c>
      <c r="C2" s="3065"/>
      <c r="D2" s="3065"/>
      <c r="E2" s="3065"/>
      <c r="F2" s="3065"/>
    </row>
    <row r="3" spans="1:9" ht="16.5">
      <c r="A3" s="3064" t="s">
        <v>2846</v>
      </c>
      <c r="B3" s="3066">
        <f>项目基本情况!D3</f>
        <v>43234</v>
      </c>
      <c r="C3" s="3065"/>
      <c r="D3" s="3065"/>
      <c r="E3" s="3065"/>
      <c r="F3" s="3065"/>
    </row>
    <row r="4" spans="1:9" ht="33">
      <c r="A4" s="3064" t="s">
        <v>2847</v>
      </c>
      <c r="B4" s="3064" t="s">
        <v>2848</v>
      </c>
      <c r="C4" s="3064" t="s">
        <v>2849</v>
      </c>
      <c r="D4" s="3064" t="s">
        <v>2850</v>
      </c>
      <c r="E4" s="3065"/>
      <c r="F4" s="3065"/>
    </row>
    <row r="5" spans="1:9" ht="16.5">
      <c r="A5" s="3064" t="s">
        <v>2851</v>
      </c>
      <c r="B5" s="3064">
        <f ca="1">SUM(D14:D23)</f>
        <v>191094</v>
      </c>
      <c r="C5" s="3064">
        <f ca="1">ROUND(B5*10000/$B$1,0)</f>
        <v>7647</v>
      </c>
      <c r="D5" s="3064">
        <f ca="1">ROUND(B5*10000/$B$2,0)</f>
        <v>22479</v>
      </c>
      <c r="E5" s="3065"/>
      <c r="F5" s="3065"/>
    </row>
    <row r="6" spans="1:9" ht="16.5">
      <c r="A6" s="3064" t="s">
        <v>2852</v>
      </c>
      <c r="B6" s="3064">
        <f ca="1">SUM(G14:G23)</f>
        <v>191094</v>
      </c>
      <c r="C6" s="3064">
        <f t="shared" ref="C6:C8" ca="1" si="0">ROUND(B6*10000/$B$1,0)</f>
        <v>7647</v>
      </c>
      <c r="D6" s="3064">
        <f t="shared" ref="D6:D8" ca="1" si="1">ROUND(B6*10000/$B$2,0)</f>
        <v>22479</v>
      </c>
      <c r="E6" s="3065"/>
      <c r="F6" s="3065"/>
    </row>
    <row r="7" spans="1:9" ht="16.5">
      <c r="A7" s="3064" t="s">
        <v>2853</v>
      </c>
      <c r="B7" s="3064">
        <f>SUM(H14:H23)</f>
        <v>0</v>
      </c>
      <c r="C7" s="3064">
        <f t="shared" si="0"/>
        <v>0</v>
      </c>
      <c r="D7" s="3064">
        <f t="shared" si="1"/>
        <v>0</v>
      </c>
      <c r="E7" s="3065"/>
      <c r="F7" s="3065"/>
    </row>
    <row r="8" spans="1:9" ht="16.5">
      <c r="A8" s="3064" t="s">
        <v>2854</v>
      </c>
      <c r="B8" s="3064">
        <f>SUM(I14:I23)</f>
        <v>0</v>
      </c>
      <c r="C8" s="3064">
        <f t="shared" si="0"/>
        <v>0</v>
      </c>
      <c r="D8" s="3064">
        <f t="shared" si="1"/>
        <v>0</v>
      </c>
      <c r="E8" s="3065"/>
      <c r="F8" s="3065"/>
    </row>
    <row r="9" spans="1:9" ht="16.5">
      <c r="A9" s="3064" t="s">
        <v>2855</v>
      </c>
      <c r="B9" s="3067"/>
      <c r="C9" s="3065"/>
      <c r="D9" s="3065"/>
      <c r="E9" s="3065"/>
      <c r="F9" s="3065"/>
    </row>
    <row r="10" spans="1:9" ht="16.5">
      <c r="A10" s="3064" t="s">
        <v>2856</v>
      </c>
      <c r="B10" s="3067"/>
      <c r="C10" s="3065"/>
      <c r="D10" s="3065"/>
      <c r="E10" s="3065"/>
      <c r="F10" s="3065"/>
    </row>
    <row r="11" spans="1:9" ht="16.5">
      <c r="A11" s="3064" t="s">
        <v>2873</v>
      </c>
      <c r="B11" s="3067"/>
      <c r="C11" s="3065"/>
      <c r="D11" s="3065"/>
      <c r="E11" s="3065"/>
      <c r="F11" s="3065"/>
    </row>
    <row r="12" spans="1:9" ht="16.5">
      <c r="A12" s="3065"/>
      <c r="B12" s="3065"/>
      <c r="C12" s="3065"/>
      <c r="D12" s="3065"/>
      <c r="E12" s="3065"/>
      <c r="F12" s="3065"/>
    </row>
    <row r="13" spans="1:9" ht="33">
      <c r="A13" s="3070" t="s">
        <v>2872</v>
      </c>
      <c r="B13" s="3068" t="s">
        <v>2844</v>
      </c>
      <c r="C13" s="3068" t="s">
        <v>2845</v>
      </c>
      <c r="D13" s="3068" t="s">
        <v>2857</v>
      </c>
      <c r="E13" s="3064" t="s">
        <v>2871</v>
      </c>
      <c r="F13" s="3064" t="s">
        <v>2850</v>
      </c>
      <c r="G13" s="3068" t="s">
        <v>2858</v>
      </c>
      <c r="H13" s="3068" t="s">
        <v>2859</v>
      </c>
      <c r="I13" s="3068" t="s">
        <v>2860</v>
      </c>
    </row>
    <row r="14" spans="1:9" ht="16.5">
      <c r="A14" s="3071" t="s">
        <v>2870</v>
      </c>
      <c r="B14" s="3068">
        <f>结果表!L38</f>
        <v>181951.64</v>
      </c>
      <c r="C14" s="3068">
        <f>结果表!K38</f>
        <v>62101.4</v>
      </c>
      <c r="D14" s="3068">
        <f ca="1">结果表!C42</f>
        <v>140249</v>
      </c>
      <c r="E14" s="3068">
        <f ca="1">ROUND(D14*10000/B14,0)</f>
        <v>7708</v>
      </c>
      <c r="F14" s="3068">
        <f ca="1">ROUND(D14*10000/C14,0)</f>
        <v>22584</v>
      </c>
      <c r="G14" s="3068">
        <f ca="1">结果表!C44</f>
        <v>140249</v>
      </c>
      <c r="H14" s="3068" t="str">
        <f>结果表!C45</f>
        <v>——</v>
      </c>
      <c r="I14" s="3068" t="str">
        <f>结果表!C46</f>
        <v>——</v>
      </c>
    </row>
    <row r="15" spans="1:9" ht="16.5">
      <c r="A15" s="3071" t="s">
        <v>2861</v>
      </c>
      <c r="B15" s="3072">
        <f>[2]系统读取表!$B$14</f>
        <v>67933.359999999986</v>
      </c>
      <c r="C15" s="3072">
        <f>[2]系统读取表!$C$14</f>
        <v>22910.16</v>
      </c>
      <c r="D15" s="3072">
        <f ca="1">[2]结果表!$O$38</f>
        <v>50845</v>
      </c>
      <c r="E15" s="3068">
        <f t="shared" ref="E15:E23" ca="1" si="2">ROUND(D15*10000/B15,0)</f>
        <v>7485</v>
      </c>
      <c r="F15" s="3068">
        <f t="shared" ref="F15:F23" ca="1" si="3">ROUND(D15*10000/C15,0)</f>
        <v>22193</v>
      </c>
      <c r="G15" s="3069">
        <f ca="1">[2]结果表!$O$38</f>
        <v>50845</v>
      </c>
      <c r="H15" s="3069"/>
      <c r="I15" s="3072"/>
    </row>
    <row r="16" spans="1:9" ht="16.5">
      <c r="A16" s="3071" t="s">
        <v>2862</v>
      </c>
      <c r="B16" s="3072"/>
      <c r="C16" s="3072"/>
      <c r="D16" s="3072"/>
      <c r="E16" s="3068" t="e">
        <f t="shared" si="2"/>
        <v>#DIV/0!</v>
      </c>
      <c r="F16" s="3068" t="e">
        <f t="shared" si="3"/>
        <v>#DIV/0!</v>
      </c>
      <c r="G16" s="3069"/>
      <c r="H16" s="3069"/>
      <c r="I16" s="3072"/>
    </row>
    <row r="17" spans="1:9" ht="16.5">
      <c r="A17" s="3071" t="s">
        <v>2863</v>
      </c>
      <c r="B17" s="3072"/>
      <c r="C17" s="3072"/>
      <c r="D17" s="3072"/>
      <c r="E17" s="3068" t="e">
        <f t="shared" si="2"/>
        <v>#DIV/0!</v>
      </c>
      <c r="F17" s="3068" t="e">
        <f t="shared" si="3"/>
        <v>#DIV/0!</v>
      </c>
      <c r="G17" s="3069"/>
      <c r="H17" s="3069"/>
      <c r="I17" s="3072"/>
    </row>
    <row r="18" spans="1:9" ht="16.5">
      <c r="A18" s="3071" t="s">
        <v>2864</v>
      </c>
      <c r="B18" s="3072"/>
      <c r="C18" s="3072"/>
      <c r="D18" s="3072"/>
      <c r="E18" s="3068" t="e">
        <f t="shared" si="2"/>
        <v>#DIV/0!</v>
      </c>
      <c r="F18" s="3068" t="e">
        <f t="shared" si="3"/>
        <v>#DIV/0!</v>
      </c>
      <c r="G18" s="3072"/>
      <c r="H18" s="3072"/>
      <c r="I18" s="3072"/>
    </row>
    <row r="19" spans="1:9" ht="16.5">
      <c r="A19" s="3071" t="s">
        <v>2865</v>
      </c>
      <c r="B19" s="3072"/>
      <c r="C19" s="3072"/>
      <c r="D19" s="3072"/>
      <c r="E19" s="3068" t="e">
        <f t="shared" si="2"/>
        <v>#DIV/0!</v>
      </c>
      <c r="F19" s="3068" t="e">
        <f t="shared" si="3"/>
        <v>#DIV/0!</v>
      </c>
      <c r="G19" s="3072"/>
      <c r="H19" s="3072"/>
      <c r="I19" s="3072"/>
    </row>
    <row r="20" spans="1:9" ht="16.5">
      <c r="A20" s="3071" t="s">
        <v>2866</v>
      </c>
      <c r="B20" s="3072"/>
      <c r="C20" s="3072"/>
      <c r="D20" s="3072"/>
      <c r="E20" s="3068" t="e">
        <f t="shared" si="2"/>
        <v>#DIV/0!</v>
      </c>
      <c r="F20" s="3068" t="e">
        <f t="shared" si="3"/>
        <v>#DIV/0!</v>
      </c>
      <c r="G20" s="3072"/>
      <c r="H20" s="3072"/>
      <c r="I20" s="3072"/>
    </row>
    <row r="21" spans="1:9" ht="16.5">
      <c r="A21" s="3071" t="s">
        <v>2867</v>
      </c>
      <c r="B21" s="3072"/>
      <c r="C21" s="3072"/>
      <c r="D21" s="3072"/>
      <c r="E21" s="3068" t="e">
        <f t="shared" si="2"/>
        <v>#DIV/0!</v>
      </c>
      <c r="F21" s="3068" t="e">
        <f t="shared" si="3"/>
        <v>#DIV/0!</v>
      </c>
      <c r="G21" s="3072"/>
      <c r="H21" s="3072"/>
      <c r="I21" s="3072"/>
    </row>
    <row r="22" spans="1:9" ht="16.5">
      <c r="A22" s="3071" t="s">
        <v>2868</v>
      </c>
      <c r="B22" s="3072"/>
      <c r="C22" s="3072"/>
      <c r="D22" s="3072"/>
      <c r="E22" s="3068" t="e">
        <f t="shared" si="2"/>
        <v>#DIV/0!</v>
      </c>
      <c r="F22" s="3068" t="e">
        <f t="shared" si="3"/>
        <v>#DIV/0!</v>
      </c>
      <c r="G22" s="3072"/>
      <c r="H22" s="3072"/>
      <c r="I22" s="3072"/>
    </row>
    <row r="23" spans="1:9" ht="16.5">
      <c r="A23" s="3071" t="s">
        <v>2869</v>
      </c>
      <c r="B23" s="3072"/>
      <c r="C23" s="3072"/>
      <c r="D23" s="3072"/>
      <c r="E23" s="3064" t="e">
        <f t="shared" si="2"/>
        <v>#DIV/0!</v>
      </c>
      <c r="F23" s="3064" t="e">
        <f t="shared" si="3"/>
        <v>#DIV/0!</v>
      </c>
      <c r="G23" s="3072"/>
      <c r="H23" s="3072"/>
      <c r="I23" s="3072"/>
    </row>
  </sheetData>
  <sheetProtection password="C66D" sheet="1" objects="1" scenarios="1"/>
  <phoneticPr fontId="233"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D19" zoomScaleNormal="100" zoomScaleSheetLayoutView="100" zoomScalePageLayoutView="80" workbookViewId="0">
      <selection activeCell="M38" sqref="M38:O38"/>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2054</v>
      </c>
      <c r="B1" s="1774"/>
      <c r="C1" s="1802" t="s">
        <v>2055</v>
      </c>
      <c r="D1" s="1803"/>
      <c r="E1" s="1802" t="s">
        <v>2056</v>
      </c>
      <c r="F1" s="1804"/>
      <c r="G1" s="310"/>
      <c r="H1" s="310"/>
      <c r="I1" s="310"/>
      <c r="J1" s="2026"/>
      <c r="K1" s="2026"/>
      <c r="L1" s="2026"/>
      <c r="M1" s="2026"/>
      <c r="N1" s="2026"/>
      <c r="O1" s="2026"/>
      <c r="P1" s="2026"/>
      <c r="Q1" s="2026"/>
      <c r="R1" s="2026"/>
      <c r="S1" s="2026"/>
      <c r="T1" s="2026"/>
      <c r="U1" s="2026"/>
      <c r="V1" s="2026"/>
    </row>
    <row r="2" spans="1:22" ht="21.75" customHeight="1" thickBot="1">
      <c r="A2" s="3382" t="str">
        <f>项目基本情况!K2</f>
        <v>北京市房山区周口店镇02街区02-0001地块出让国有建设用地使用权</v>
      </c>
      <c r="B2" s="3383"/>
      <c r="C2" s="3384"/>
      <c r="D2" s="3384"/>
      <c r="E2" s="3384"/>
      <c r="F2" s="3384"/>
      <c r="G2" s="3383"/>
      <c r="H2" s="3383"/>
      <c r="I2" s="3385"/>
      <c r="J2" s="2027"/>
      <c r="K2" s="2026"/>
      <c r="L2" s="2026"/>
      <c r="M2" s="2026"/>
      <c r="N2" s="2026"/>
      <c r="O2" s="2026"/>
      <c r="P2" s="2026"/>
      <c r="Q2" s="2026"/>
      <c r="R2" s="2026"/>
      <c r="S2" s="2026"/>
      <c r="T2" s="2026"/>
      <c r="U2" s="2026"/>
      <c r="V2" s="2026"/>
    </row>
    <row r="3" spans="1:22" ht="14.25">
      <c r="A3" s="3375" t="s">
        <v>294</v>
      </c>
      <c r="B3" s="3376"/>
      <c r="C3" s="3376"/>
      <c r="D3" s="3376"/>
      <c r="E3" s="3376"/>
      <c r="F3" s="3376"/>
      <c r="G3" s="3376"/>
      <c r="H3" s="3376"/>
      <c r="I3" s="3376"/>
      <c r="J3" s="2027"/>
      <c r="K3" s="2026"/>
      <c r="L3" s="2026"/>
      <c r="M3" s="2026"/>
      <c r="N3" s="2026"/>
      <c r="O3" s="2026"/>
      <c r="P3" s="2026"/>
      <c r="Q3" s="2026"/>
      <c r="R3" s="2026"/>
      <c r="S3" s="2026"/>
      <c r="T3" s="2026"/>
      <c r="U3" s="2026"/>
      <c r="V3" s="2026"/>
    </row>
    <row r="4" spans="1:22" ht="14.25">
      <c r="A4" s="257" t="s">
        <v>295</v>
      </c>
      <c r="B4" s="258" t="s">
        <v>296</v>
      </c>
      <c r="C4" s="259" t="s">
        <v>3190</v>
      </c>
      <c r="D4" s="259" t="s">
        <v>3191</v>
      </c>
      <c r="E4" s="3347" t="s">
        <v>297</v>
      </c>
      <c r="F4" s="3348"/>
      <c r="G4" s="3348"/>
      <c r="H4" s="3348"/>
      <c r="I4" s="3377"/>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46" t="s">
        <v>298</v>
      </c>
      <c r="B5" s="3372">
        <v>25</v>
      </c>
      <c r="C5" s="3370"/>
      <c r="D5" s="3374"/>
      <c r="E5" s="260" t="s">
        <v>299</v>
      </c>
      <c r="F5" s="261"/>
      <c r="G5" s="261"/>
      <c r="H5" s="261"/>
      <c r="I5" s="262"/>
      <c r="J5" s="2027"/>
      <c r="K5" s="2026"/>
      <c r="L5" s="2026"/>
      <c r="M5" s="2026"/>
      <c r="N5" s="2026"/>
      <c r="O5" s="2026"/>
      <c r="P5" s="2026"/>
      <c r="Q5" s="2026"/>
      <c r="R5" s="2026"/>
      <c r="S5" s="2026"/>
      <c r="T5" s="2026"/>
      <c r="U5" s="2026"/>
      <c r="V5" s="2026"/>
    </row>
    <row r="6" spans="1:22" ht="14.25">
      <c r="A6" s="3346"/>
      <c r="B6" s="3372"/>
      <c r="C6" s="3373"/>
      <c r="D6" s="3374"/>
      <c r="E6" s="260" t="s">
        <v>300</v>
      </c>
      <c r="F6" s="261"/>
      <c r="G6" s="261"/>
      <c r="H6" s="261"/>
      <c r="I6" s="262"/>
      <c r="J6" s="2027"/>
      <c r="K6" s="2026"/>
      <c r="L6" s="2026"/>
      <c r="M6" s="2026"/>
      <c r="N6" s="2026"/>
      <c r="O6" s="2026"/>
      <c r="P6" s="2026"/>
      <c r="Q6" s="2026"/>
      <c r="R6" s="2026"/>
      <c r="S6" s="2026"/>
      <c r="T6" s="2026"/>
      <c r="U6" s="2026"/>
      <c r="V6" s="2026"/>
    </row>
    <row r="7" spans="1:22" ht="14.25">
      <c r="A7" s="3346"/>
      <c r="B7" s="3372"/>
      <c r="C7" s="3371"/>
      <c r="D7" s="3374"/>
      <c r="E7" s="260" t="s">
        <v>301</v>
      </c>
      <c r="F7" s="261"/>
      <c r="G7" s="261"/>
      <c r="H7" s="261"/>
      <c r="I7" s="262"/>
      <c r="J7" s="2027"/>
      <c r="K7" s="2026"/>
      <c r="L7" s="2026"/>
      <c r="M7" s="2026"/>
      <c r="N7" s="2026"/>
      <c r="O7" s="2026"/>
      <c r="P7" s="2026"/>
      <c r="Q7" s="2026"/>
      <c r="R7" s="2026"/>
      <c r="S7" s="2026"/>
      <c r="T7" s="2026"/>
      <c r="U7" s="2026"/>
      <c r="V7" s="2026"/>
    </row>
    <row r="8" spans="1:22" ht="14.25">
      <c r="A8" s="3346" t="s">
        <v>302</v>
      </c>
      <c r="B8" s="3372">
        <v>15</v>
      </c>
      <c r="C8" s="3370"/>
      <c r="D8" s="3374"/>
      <c r="E8" s="260" t="s">
        <v>303</v>
      </c>
      <c r="F8" s="261"/>
      <c r="G8" s="261"/>
      <c r="H8" s="261"/>
      <c r="I8" s="262"/>
      <c r="J8" s="2027"/>
      <c r="K8" s="2026"/>
      <c r="L8" s="2026"/>
      <c r="M8" s="2026"/>
      <c r="N8" s="2026"/>
      <c r="O8" s="2026"/>
      <c r="P8" s="2026"/>
      <c r="Q8" s="2026"/>
      <c r="R8" s="2026"/>
      <c r="S8" s="2026"/>
      <c r="T8" s="2026"/>
      <c r="U8" s="2026"/>
      <c r="V8" s="2026"/>
    </row>
    <row r="9" spans="1:22" ht="14.25">
      <c r="A9" s="3346"/>
      <c r="B9" s="3372"/>
      <c r="C9" s="3371"/>
      <c r="D9" s="3374"/>
      <c r="E9" s="260" t="s">
        <v>304</v>
      </c>
      <c r="F9" s="261"/>
      <c r="G9" s="261"/>
      <c r="H9" s="261"/>
      <c r="I9" s="262"/>
      <c r="J9" s="2027"/>
      <c r="K9" s="2026"/>
      <c r="L9" s="2026"/>
      <c r="M9" s="2026"/>
      <c r="N9" s="2026"/>
      <c r="O9" s="2026"/>
      <c r="P9" s="2026"/>
      <c r="Q9" s="2026"/>
      <c r="R9" s="2026"/>
      <c r="S9" s="2026"/>
      <c r="T9" s="2026"/>
      <c r="U9" s="2026"/>
      <c r="V9" s="2026"/>
    </row>
    <row r="10" spans="1:22" ht="14.25">
      <c r="A10" s="3346" t="s">
        <v>305</v>
      </c>
      <c r="B10" s="3372">
        <v>15</v>
      </c>
      <c r="C10" s="3370"/>
      <c r="D10" s="3374"/>
      <c r="E10" s="260" t="s">
        <v>306</v>
      </c>
      <c r="F10" s="261"/>
      <c r="G10" s="261"/>
      <c r="H10" s="261"/>
      <c r="I10" s="262"/>
      <c r="J10" s="2027"/>
      <c r="K10" s="2026"/>
      <c r="L10" s="2026"/>
      <c r="M10" s="2026"/>
      <c r="N10" s="2026"/>
      <c r="O10" s="2026"/>
      <c r="P10" s="2026"/>
      <c r="Q10" s="2026"/>
      <c r="R10" s="2026"/>
      <c r="S10" s="2026"/>
      <c r="T10" s="2026"/>
      <c r="U10" s="2026"/>
      <c r="V10" s="2026"/>
    </row>
    <row r="11" spans="1:22" ht="14.25">
      <c r="A11" s="3346"/>
      <c r="B11" s="3372"/>
      <c r="C11" s="3371"/>
      <c r="D11" s="3374"/>
      <c r="E11" s="260" t="s">
        <v>307</v>
      </c>
      <c r="F11" s="261"/>
      <c r="G11" s="261"/>
      <c r="H11" s="261"/>
      <c r="I11" s="262"/>
      <c r="J11" s="2027"/>
      <c r="K11" s="2026"/>
      <c r="L11" s="2026"/>
      <c r="M11" s="2026"/>
      <c r="N11" s="2026"/>
      <c r="O11" s="2026"/>
      <c r="P11" s="2026"/>
      <c r="Q11" s="2026"/>
      <c r="R11" s="2026"/>
      <c r="S11" s="2026"/>
      <c r="T11" s="2026"/>
      <c r="U11" s="2026"/>
      <c r="V11" s="2026"/>
    </row>
    <row r="12" spans="1:22" ht="14.25">
      <c r="A12" s="3346" t="s">
        <v>308</v>
      </c>
      <c r="B12" s="3372">
        <v>15</v>
      </c>
      <c r="C12" s="3370"/>
      <c r="D12" s="3374"/>
      <c r="E12" s="260" t="s">
        <v>309</v>
      </c>
      <c r="F12" s="261"/>
      <c r="G12" s="261"/>
      <c r="H12" s="261"/>
      <c r="I12" s="262"/>
      <c r="J12" s="2027"/>
      <c r="K12" s="2026"/>
      <c r="L12" s="2026"/>
      <c r="M12" s="2026"/>
      <c r="N12" s="2026"/>
      <c r="O12" s="2026"/>
      <c r="P12" s="2026"/>
      <c r="Q12" s="2026"/>
      <c r="R12" s="2026"/>
      <c r="S12" s="2026"/>
      <c r="T12" s="2026"/>
      <c r="U12" s="2026"/>
      <c r="V12" s="2026"/>
    </row>
    <row r="13" spans="1:22" ht="14.25">
      <c r="A13" s="3346"/>
      <c r="B13" s="3372"/>
      <c r="C13" s="3371"/>
      <c r="D13" s="3374"/>
      <c r="E13" s="260" t="s">
        <v>310</v>
      </c>
      <c r="F13" s="261"/>
      <c r="G13" s="261"/>
      <c r="H13" s="261"/>
      <c r="I13" s="262"/>
      <c r="J13" s="2027"/>
      <c r="K13" s="2026"/>
      <c r="L13" s="2026"/>
      <c r="M13" s="2026"/>
      <c r="N13" s="2026"/>
      <c r="O13" s="2026"/>
      <c r="P13" s="2026"/>
      <c r="Q13" s="2026"/>
      <c r="R13" s="2026"/>
      <c r="S13" s="2026"/>
      <c r="T13" s="2026"/>
      <c r="U13" s="2026"/>
      <c r="V13" s="2026"/>
    </row>
    <row r="14" spans="1:22" ht="14.25">
      <c r="A14" s="3346" t="s">
        <v>311</v>
      </c>
      <c r="B14" s="3372">
        <v>30</v>
      </c>
      <c r="C14" s="3370">
        <v>5</v>
      </c>
      <c r="D14" s="3374">
        <v>5</v>
      </c>
      <c r="E14" s="260" t="s">
        <v>312</v>
      </c>
      <c r="F14" s="261"/>
      <c r="G14" s="261"/>
      <c r="H14" s="261"/>
      <c r="I14" s="262"/>
      <c r="J14" s="2027"/>
      <c r="K14" s="2026"/>
      <c r="L14" s="2026"/>
      <c r="M14" s="2026"/>
      <c r="N14" s="2026"/>
      <c r="O14" s="2026"/>
      <c r="P14" s="2026"/>
      <c r="Q14" s="2026"/>
      <c r="R14" s="2026"/>
      <c r="S14" s="2026"/>
      <c r="T14" s="2026"/>
      <c r="U14" s="2026"/>
      <c r="V14" s="2026"/>
    </row>
    <row r="15" spans="1:22" ht="14.25">
      <c r="A15" s="3346"/>
      <c r="B15" s="3372"/>
      <c r="C15" s="3373"/>
      <c r="D15" s="3374"/>
      <c r="E15" s="260" t="s">
        <v>313</v>
      </c>
      <c r="F15" s="261"/>
      <c r="G15" s="261"/>
      <c r="H15" s="261"/>
      <c r="I15" s="262"/>
      <c r="J15" s="2027"/>
      <c r="K15" s="2026"/>
      <c r="L15" s="2026"/>
      <c r="M15" s="2026"/>
      <c r="N15" s="2026"/>
      <c r="O15" s="2026"/>
      <c r="P15" s="2026"/>
      <c r="Q15" s="2026"/>
      <c r="R15" s="2026"/>
      <c r="S15" s="2026"/>
      <c r="T15" s="2026"/>
      <c r="U15" s="2026"/>
      <c r="V15" s="2026"/>
    </row>
    <row r="16" spans="1:22" ht="14.25">
      <c r="A16" s="3346"/>
      <c r="B16" s="3372"/>
      <c r="C16" s="3371"/>
      <c r="D16" s="3374"/>
      <c r="E16" s="260" t="s">
        <v>314</v>
      </c>
      <c r="F16" s="261"/>
      <c r="G16" s="261"/>
      <c r="H16" s="261"/>
      <c r="I16" s="262"/>
      <c r="J16" s="2027"/>
      <c r="K16" s="2026"/>
      <c r="L16" s="2026"/>
      <c r="M16" s="2026"/>
      <c r="N16" s="2026"/>
      <c r="O16" s="2026"/>
      <c r="P16" s="2026"/>
      <c r="Q16" s="2026"/>
      <c r="R16" s="2026"/>
      <c r="S16" s="2026"/>
      <c r="T16" s="2026"/>
      <c r="U16" s="2026"/>
      <c r="V16" s="2026"/>
    </row>
    <row r="17" spans="1:26" ht="15">
      <c r="A17" s="263" t="s">
        <v>315</v>
      </c>
      <c r="B17" s="144"/>
      <c r="C17" s="264">
        <f>SUM(C5:C16)</f>
        <v>5</v>
      </c>
      <c r="D17" s="264">
        <f>SUM(D5:D16)</f>
        <v>5</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316</v>
      </c>
      <c r="B18" s="105"/>
      <c r="C18" s="266">
        <f>ROUND(C17/SUM(C17:D17),2)</f>
        <v>0.5</v>
      </c>
      <c r="D18" s="266">
        <f>1-C18</f>
        <v>0.5</v>
      </c>
      <c r="E18" s="310"/>
      <c r="F18" s="310"/>
      <c r="G18" s="310"/>
      <c r="H18" s="310"/>
      <c r="I18" s="310"/>
      <c r="J18" s="2026"/>
      <c r="K18" s="2026"/>
      <c r="L18" s="2026"/>
      <c r="M18" s="2026"/>
      <c r="N18" s="2026"/>
      <c r="O18" s="2026"/>
      <c r="P18" s="2026"/>
      <c r="Q18" s="2026"/>
      <c r="R18" s="2026"/>
      <c r="S18" s="2026"/>
      <c r="T18" s="2026"/>
      <c r="U18" s="2026"/>
      <c r="V18" s="2026"/>
    </row>
    <row r="19" spans="1:26" ht="15">
      <c r="A19" s="267" t="s">
        <v>317</v>
      </c>
      <c r="B19" s="268" t="s">
        <v>318</v>
      </c>
      <c r="C19" s="269">
        <f ca="1">SUMIF(INDIRECT("'"&amp;C4&amp;"'"&amp;"!A:A"),结果表!B19,INDIRECT("'"&amp;C4&amp;"'"&amp;"!B:B"))</f>
        <v>148005</v>
      </c>
      <c r="D19" s="270">
        <f ca="1">SUMIF(INDIRECT("'"&amp;D4&amp;"'"&amp;"!A:A"),结果表!B19,INDIRECT("'"&amp;D4&amp;"'"&amp;"!B:B"))</f>
        <v>132493</v>
      </c>
      <c r="E19" s="267" t="s">
        <v>319</v>
      </c>
      <c r="F19" s="268" t="s">
        <v>318</v>
      </c>
      <c r="G19" s="271">
        <f ca="1">ROUND(C19*$C$18+D19*$D$18,0)</f>
        <v>140249</v>
      </c>
      <c r="H19" s="272" t="s">
        <v>320</v>
      </c>
      <c r="I19" s="310"/>
      <c r="J19" s="2026"/>
      <c r="K19" s="2026"/>
      <c r="L19" s="2026"/>
      <c r="M19" s="2026"/>
      <c r="N19" s="2026"/>
      <c r="O19" s="2026"/>
      <c r="P19" s="2026"/>
      <c r="Q19" s="2026"/>
      <c r="R19" s="2026"/>
      <c r="S19" s="2026"/>
      <c r="T19" s="2026"/>
      <c r="U19" s="2026"/>
      <c r="V19" s="2026"/>
    </row>
    <row r="20" spans="1:26" ht="15">
      <c r="A20" s="273"/>
      <c r="B20" s="274" t="s">
        <v>321</v>
      </c>
      <c r="C20" s="275">
        <f ca="1">SUMIF(INDIRECT("'"&amp;C4&amp;"'"&amp;"!A:A"),结果表!B20,INDIRECT("'"&amp;C4&amp;"'"&amp;"!B:B"))</f>
        <v>8134</v>
      </c>
      <c r="D20" s="276">
        <f ca="1">SUMIF(INDIRECT("'"&amp;D4&amp;"'"&amp;"!A:A"),结果表!B20,INDIRECT("'"&amp;D4&amp;"'"&amp;"!B:B"))</f>
        <v>7282</v>
      </c>
      <c r="E20" s="273"/>
      <c r="F20" s="274" t="s">
        <v>321</v>
      </c>
      <c r="G20" s="277">
        <f ca="1">ROUND(C20*$C$18+D20*$D$18,0)</f>
        <v>7708</v>
      </c>
      <c r="H20" s="278" t="s">
        <v>322</v>
      </c>
      <c r="I20" s="310"/>
      <c r="J20" s="2026"/>
      <c r="K20" s="2026"/>
      <c r="L20" s="2026"/>
      <c r="M20" s="2026"/>
      <c r="N20" s="2026"/>
      <c r="O20" s="2026"/>
      <c r="P20" s="2026"/>
      <c r="Q20" s="2026"/>
      <c r="R20" s="2026"/>
      <c r="S20" s="2026"/>
      <c r="T20" s="2026"/>
      <c r="U20" s="2026"/>
      <c r="V20" s="2026"/>
    </row>
    <row r="21" spans="1:26" ht="15" customHeight="1">
      <c r="A21" s="273"/>
      <c r="B21" s="279" t="s">
        <v>323</v>
      </c>
      <c r="C21" s="280">
        <f ca="1">SUMIF(INDIRECT("'"&amp;C4&amp;"'"&amp;"!A:A"),结果表!B21,INDIRECT("'"&amp;C4&amp;"'"&amp;"!B:B"))</f>
        <v>23833</v>
      </c>
      <c r="D21" s="151">
        <f ca="1">SUMIF(INDIRECT("'"&amp;D4&amp;"'"&amp;"!A:A"),结果表!B21,INDIRECT("'"&amp;D4&amp;"'"&amp;"!B:B"))</f>
        <v>21335</v>
      </c>
      <c r="E21" s="273"/>
      <c r="F21" s="279" t="s">
        <v>323</v>
      </c>
      <c r="G21" s="281">
        <f ca="1">ROUND(C21*$C$18+D21*$D$18,0)</f>
        <v>22584</v>
      </c>
      <c r="H21" s="1250" t="s">
        <v>322</v>
      </c>
      <c r="I21" s="310"/>
      <c r="J21" s="2026"/>
      <c r="K21" s="2026"/>
      <c r="L21" s="2026"/>
      <c r="M21" s="2026"/>
      <c r="N21" s="2026"/>
      <c r="O21" s="2026"/>
      <c r="P21" s="2026"/>
      <c r="Q21" s="2026"/>
      <c r="R21" s="2026"/>
      <c r="S21" s="2026"/>
      <c r="T21" s="2026"/>
      <c r="U21" s="2026"/>
      <c r="V21" s="2026"/>
    </row>
    <row r="22" spans="1:26" ht="15.75" thickBot="1">
      <c r="A22" s="126" t="s">
        <v>324</v>
      </c>
      <c r="B22" s="1251"/>
      <c r="C22" s="1252"/>
      <c r="D22" s="282">
        <f ca="1">IF(C19&lt;D19,D19/C19-1,C19/D19-1)</f>
        <v>0.11707788335987557</v>
      </c>
      <c r="E22" s="283"/>
      <c r="F22" s="284"/>
      <c r="G22" s="285">
        <f ca="1">ROUND(G19/('数据-汇总表'!D3/666.67),0)</f>
        <v>1506</v>
      </c>
      <c r="H22" s="286" t="s">
        <v>325</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52" t="s">
        <v>326</v>
      </c>
      <c r="B24" s="268" t="s">
        <v>318</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53"/>
      <c r="B25" s="1320" t="s">
        <v>327</v>
      </c>
      <c r="C25" s="289">
        <f>IF(B30=0,0,C30)</f>
        <v>0</v>
      </c>
      <c r="D25" s="290"/>
      <c r="E25" s="310"/>
      <c r="F25" s="310"/>
      <c r="G25" s="310"/>
      <c r="H25" s="310"/>
      <c r="I25" s="310"/>
      <c r="J25" s="2026"/>
      <c r="K25" s="1254" t="str">
        <f ca="1">项目基本情况!B16&amp;"国有建设用地使用权价格："&amp;O38&amp;"万元"</f>
        <v>出让国有建设用地使用权价格：140249万元</v>
      </c>
      <c r="L25" s="1255"/>
      <c r="M25" s="1255"/>
      <c r="N25" s="1255"/>
      <c r="O25" s="1256"/>
      <c r="P25" s="2026"/>
      <c r="Q25" s="2026"/>
      <c r="R25" s="2026"/>
      <c r="S25" s="2026"/>
      <c r="T25" s="2026"/>
      <c r="U25" s="2026"/>
      <c r="V25" s="2026"/>
    </row>
    <row r="26" spans="1:26" s="1253" customFormat="1" ht="18">
      <c r="A26" s="292" t="s">
        <v>328</v>
      </c>
      <c r="B26" s="293" t="s">
        <v>329</v>
      </c>
      <c r="C26" s="293" t="s">
        <v>330</v>
      </c>
      <c r="D26" s="294" t="s">
        <v>331</v>
      </c>
      <c r="E26" s="310"/>
      <c r="F26" s="310"/>
      <c r="G26" s="310"/>
      <c r="H26" s="310"/>
      <c r="I26" s="310"/>
      <c r="J26" s="2026"/>
      <c r="K26" s="1257" t="str">
        <f ca="1">"大写金额：人民币"&amp;NUMBERSTRING(INT(O38*10000),2)&amp;"元整"</f>
        <v>大写金额：人民币壹拾肆亿零贰佰肆拾玖万元整</v>
      </c>
      <c r="L26" s="1251"/>
      <c r="M26" s="1251"/>
      <c r="N26" s="1251"/>
      <c r="O26" s="1250"/>
      <c r="P26" s="2026"/>
      <c r="Q26" s="2026"/>
      <c r="R26" s="2026"/>
      <c r="S26" s="2026"/>
      <c r="T26" s="2026"/>
      <c r="U26" s="2026"/>
      <c r="V26" s="2026"/>
      <c r="W26" s="291"/>
      <c r="X26" s="291"/>
      <c r="Y26" s="291"/>
      <c r="Z26" s="291"/>
    </row>
    <row r="27" spans="1:26" ht="18">
      <c r="A27" s="292"/>
      <c r="B27" s="293"/>
      <c r="C27" s="293"/>
      <c r="D27" s="294">
        <f ca="1">G19/'数据-汇总表'!F31*10000</f>
        <v>14420.802956033769</v>
      </c>
      <c r="E27" s="310"/>
      <c r="F27" s="310"/>
      <c r="G27" s="310"/>
      <c r="H27" s="310"/>
      <c r="I27" s="310"/>
      <c r="J27" s="2026"/>
      <c r="K27" s="1257" t="str">
        <f ca="1">"单位面积地价："&amp;M38&amp;"元/平方米"</f>
        <v>单位面积地价：22584元/平方米</v>
      </c>
      <c r="L27" s="1251"/>
      <c r="M27" s="1251"/>
      <c r="N27" s="1251"/>
      <c r="O27" s="1250"/>
      <c r="P27" s="2026"/>
      <c r="Q27" s="2026"/>
      <c r="R27" s="2026"/>
      <c r="S27" s="2026"/>
      <c r="T27" s="2026"/>
      <c r="U27" s="2026"/>
      <c r="V27" s="2026"/>
    </row>
    <row r="28" spans="1:26" ht="18.75" customHeight="1">
      <c r="A28" s="292"/>
      <c r="B28" s="293"/>
      <c r="C28" s="293"/>
      <c r="D28" s="294">
        <f ca="1">G19/'剩余法-待开发'!C6</f>
        <v>0.57126971454640252</v>
      </c>
      <c r="E28" s="310"/>
      <c r="F28" s="310"/>
      <c r="G28" s="310"/>
      <c r="H28" s="310"/>
      <c r="I28" s="310"/>
      <c r="J28" s="2026"/>
      <c r="K28" s="1257" t="str">
        <f ca="1">"楼面地价："&amp;N38&amp;"元/平方米"</f>
        <v>楼面地价：7708元/平方米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抵押价格：140249万元</v>
      </c>
      <c r="L29" s="1251"/>
      <c r="M29" s="1251"/>
      <c r="N29" s="1251"/>
      <c r="O29" s="1250"/>
      <c r="P29" s="2026"/>
      <c r="V29" s="2026"/>
    </row>
    <row r="30" spans="1:26" ht="18.75" thickBot="1">
      <c r="A30" s="3154" t="s">
        <v>332</v>
      </c>
      <c r="B30" s="308"/>
      <c r="C30" s="308"/>
      <c r="D30" s="309"/>
      <c r="E30" s="3155" t="s">
        <v>2970</v>
      </c>
      <c r="F30" s="310"/>
      <c r="G30" s="310"/>
      <c r="H30" s="310"/>
      <c r="I30" s="310"/>
      <c r="J30" s="2026"/>
      <c r="K30" s="1257" t="str">
        <f ca="1">IF(K29="——","——","大写金额：人民币"&amp;NUMBERSTRING(INT(O39*10000),2)&amp;"元整")</f>
        <v>大写金额：人民币壹拾肆亿零贰佰肆拾玖万元整</v>
      </c>
      <c r="L30" s="1251"/>
      <c r="M30" s="1251"/>
      <c r="N30" s="1251"/>
      <c r="O30" s="1250"/>
      <c r="P30" s="2026"/>
      <c r="V30" s="2026"/>
    </row>
    <row r="31" spans="1:26" ht="24" customHeight="1" thickBot="1">
      <c r="A31" s="310"/>
      <c r="B31" s="310"/>
      <c r="C31" s="310"/>
      <c r="D31" s="310"/>
      <c r="E31" s="310"/>
      <c r="F31" s="310"/>
      <c r="G31" s="310"/>
      <c r="H31" s="310"/>
      <c r="I31" s="310"/>
      <c r="J31" s="2026"/>
      <c r="K31" s="2490" t="str">
        <f>IF(项目基本情况!E8="抵押价格","——","抵押担保权已注销时的抵押价格："&amp;O40&amp;"万元")</f>
        <v>——</v>
      </c>
      <c r="L31" s="2486"/>
      <c r="M31" s="2486"/>
      <c r="N31" s="2486"/>
      <c r="O31" s="2487"/>
      <c r="P31" s="2026"/>
      <c r="V31" s="2026"/>
    </row>
    <row r="32" spans="1:26" ht="18.75" thickBot="1">
      <c r="A32" s="267" t="s">
        <v>333</v>
      </c>
      <c r="B32" s="1378" t="s">
        <v>1685</v>
      </c>
      <c r="C32" s="1379">
        <f ca="1">G19-C24</f>
        <v>140249</v>
      </c>
      <c r="D32" s="1380" t="s">
        <v>1686</v>
      </c>
      <c r="E32" s="310"/>
      <c r="F32" s="310"/>
      <c r="G32" s="310"/>
      <c r="H32" s="310"/>
      <c r="I32" s="310"/>
      <c r="J32" s="2026"/>
      <c r="K32" s="2485" t="str">
        <f>IF(K31="——","——","大写金额：人民币"&amp;NUMBERSTRING(INT(O40*10000),2)&amp;"元整")</f>
        <v>——</v>
      </c>
      <c r="L32" s="2488"/>
      <c r="M32" s="2488"/>
      <c r="N32" s="2488"/>
      <c r="O32" s="2489"/>
      <c r="P32" s="2026"/>
      <c r="V32" s="2026"/>
    </row>
    <row r="33" spans="1:26" ht="18.75" thickBot="1">
      <c r="A33" s="297" t="s">
        <v>336</v>
      </c>
      <c r="B33" s="1381" t="s">
        <v>1687</v>
      </c>
      <c r="C33" s="263">
        <f ca="1">ROUND(C32*10000/'数据-汇总表'!E3,0)</f>
        <v>7708</v>
      </c>
      <c r="D33" s="1382" t="s">
        <v>1688</v>
      </c>
      <c r="E33" s="3352" t="s">
        <v>334</v>
      </c>
      <c r="F33" s="295" t="s">
        <v>335</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3" t="s">
        <v>1689</v>
      </c>
      <c r="C34" s="263">
        <f ca="1">ROUND(C32*10000/'数据-汇总表'!D3,0)</f>
        <v>22584</v>
      </c>
      <c r="D34" s="1384" t="s">
        <v>1688</v>
      </c>
      <c r="E34" s="3393"/>
      <c r="F34" s="127" t="s">
        <v>337</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5"/>
      <c r="C35" s="1386">
        <f ca="1">ROUND(C32/('数据-汇总表'!D3/666.67),0)</f>
        <v>1506</v>
      </c>
      <c r="D35" s="1387" t="s">
        <v>1690</v>
      </c>
      <c r="E35" s="3394"/>
      <c r="F35" s="300" t="s">
        <v>338</v>
      </c>
      <c r="G35" s="981"/>
      <c r="H35" s="980" t="s">
        <v>339</v>
      </c>
      <c r="I35" s="310"/>
      <c r="J35" s="2026"/>
      <c r="K35" s="3367" t="s">
        <v>346</v>
      </c>
      <c r="L35" s="3367" t="s">
        <v>347</v>
      </c>
      <c r="M35" s="1263" t="s">
        <v>348</v>
      </c>
      <c r="N35" s="3367" t="s">
        <v>349</v>
      </c>
      <c r="O35" s="3367" t="s">
        <v>350</v>
      </c>
      <c r="P35" s="2026"/>
      <c r="V35" s="2026"/>
    </row>
    <row r="36" spans="1:26" ht="16.5" customHeight="1">
      <c r="A36" s="302" t="s">
        <v>340</v>
      </c>
      <c r="B36" s="303" t="s">
        <v>329</v>
      </c>
      <c r="C36" s="304" t="s">
        <v>341</v>
      </c>
      <c r="D36" s="304" t="s">
        <v>342</v>
      </c>
      <c r="E36" s="305" t="s">
        <v>343</v>
      </c>
      <c r="F36" s="310"/>
      <c r="G36" s="310"/>
      <c r="H36" s="310"/>
      <c r="I36" s="310"/>
      <c r="J36" s="2028"/>
      <c r="K36" s="3368"/>
      <c r="L36" s="3368"/>
      <c r="M36" s="1265" t="s">
        <v>351</v>
      </c>
      <c r="N36" s="3368"/>
      <c r="O36" s="3368"/>
      <c r="P36" s="2026"/>
      <c r="V36" s="2026"/>
    </row>
    <row r="37" spans="1:26" ht="16.5" customHeight="1" thickBot="1">
      <c r="A37" s="1259" t="s">
        <v>344</v>
      </c>
      <c r="B37" s="306">
        <f>'比较法-住宅、综合'!E64</f>
        <v>29834.269999999997</v>
      </c>
      <c r="C37" s="293">
        <f>12868*0.25*0.2</f>
        <v>643.40000000000009</v>
      </c>
      <c r="D37" s="3234">
        <v>3.0499999999999999E-2</v>
      </c>
      <c r="E37" s="294">
        <f>ROUND(B37*C37*(1+D37)/10000,0)</f>
        <v>1978</v>
      </c>
      <c r="F37" s="310"/>
      <c r="G37" s="310"/>
      <c r="H37" s="310"/>
      <c r="I37" s="310"/>
      <c r="J37" s="2028"/>
      <c r="K37" s="3369"/>
      <c r="L37" s="3369"/>
      <c r="M37" s="1266"/>
      <c r="N37" s="3369"/>
      <c r="O37" s="3369"/>
      <c r="P37" s="2026"/>
      <c r="V37" s="2026"/>
    </row>
    <row r="38" spans="1:26" ht="16.5" customHeight="1" thickBot="1">
      <c r="A38" s="1259" t="s">
        <v>345</v>
      </c>
      <c r="B38" s="306">
        <f>'比较法-住宅、综合'!E65</f>
        <v>27013.690000000002</v>
      </c>
      <c r="C38" s="293">
        <f>12868*0.25*0.15</f>
        <v>482.54999999999995</v>
      </c>
      <c r="D38" s="3234">
        <f>D37</f>
        <v>3.0499999999999999E-2</v>
      </c>
      <c r="E38" s="294">
        <f>ROUND(B38*C38*(1+D38)/10000,0)</f>
        <v>1343</v>
      </c>
      <c r="F38" s="310"/>
      <c r="G38" s="310"/>
      <c r="H38" s="310"/>
      <c r="I38" s="310"/>
      <c r="J38" s="2028"/>
      <c r="K38" s="1267">
        <f>'数据-汇总表'!D3</f>
        <v>62101.4</v>
      </c>
      <c r="L38" s="1268">
        <f>'数据-汇总表'!E3</f>
        <v>181951.64</v>
      </c>
      <c r="M38" s="1268">
        <f ca="1">C34</f>
        <v>22584</v>
      </c>
      <c r="N38" s="1268">
        <f ca="1">C33</f>
        <v>7708</v>
      </c>
      <c r="O38" s="1269">
        <f ca="1">C32</f>
        <v>140249</v>
      </c>
      <c r="P38" s="2026"/>
      <c r="V38" s="2026"/>
    </row>
    <row r="39" spans="1:26" ht="16.5" customHeight="1" thickBot="1">
      <c r="A39" s="1264"/>
      <c r="B39" s="307"/>
      <c r="C39" s="308"/>
      <c r="D39" s="308"/>
      <c r="E39" s="309">
        <f>E37+E38</f>
        <v>3321</v>
      </c>
      <c r="F39" s="310"/>
      <c r="G39" s="310"/>
      <c r="H39" s="310"/>
      <c r="I39" s="310"/>
      <c r="J39" s="2028"/>
      <c r="K39" s="3412" t="str">
        <f>MID(A44,3,LEN(A44)-2)</f>
        <v>抵押价格</v>
      </c>
      <c r="L39" s="3413"/>
      <c r="M39" s="3413"/>
      <c r="N39" s="3414"/>
      <c r="O39" s="1389">
        <f ca="1">C44</f>
        <v>140249</v>
      </c>
      <c r="P39" s="2026"/>
      <c r="V39" s="2026"/>
    </row>
    <row r="40" spans="1:26" ht="19.5" thickBot="1">
      <c r="A40" s="104" t="s">
        <v>869</v>
      </c>
      <c r="B40" s="310"/>
      <c r="C40" s="310"/>
      <c r="D40" s="310"/>
      <c r="E40" s="310"/>
      <c r="F40" s="310"/>
      <c r="G40" s="310"/>
      <c r="H40" s="310"/>
      <c r="I40" s="310"/>
      <c r="J40" s="2028"/>
      <c r="K40" s="3412" t="str">
        <f t="shared" ref="K40:K41" si="0">MID(A45,3,LEN(A45)-2)</f>
        <v/>
      </c>
      <c r="L40" s="3413"/>
      <c r="M40" s="3413"/>
      <c r="N40" s="3414"/>
      <c r="O40" s="1389" t="str">
        <f>C45</f>
        <v>——</v>
      </c>
      <c r="P40" s="2026"/>
      <c r="V40" s="2026"/>
    </row>
    <row r="41" spans="1:26" ht="16.5" thickBot="1">
      <c r="A41" s="311" t="s">
        <v>352</v>
      </c>
      <c r="B41" s="312"/>
      <c r="C41" s="313" t="s">
        <v>353</v>
      </c>
      <c r="D41" s="314" t="s">
        <v>354</v>
      </c>
      <c r="E41" s="314" t="s">
        <v>355</v>
      </c>
      <c r="F41" s="315" t="s">
        <v>356</v>
      </c>
      <c r="G41" s="310"/>
      <c r="H41" s="310"/>
      <c r="I41" s="310"/>
      <c r="J41" s="2028"/>
      <c r="K41" s="3412" t="str">
        <f t="shared" si="0"/>
        <v/>
      </c>
      <c r="L41" s="3413"/>
      <c r="M41" s="3413"/>
      <c r="N41" s="3414"/>
      <c r="O41" s="1389" t="str">
        <f>C46</f>
        <v>——</v>
      </c>
      <c r="P41" s="2026"/>
      <c r="V41" s="2026"/>
    </row>
    <row r="42" spans="1:26" ht="29.25">
      <c r="A42" s="3354" t="s">
        <v>2066</v>
      </c>
      <c r="B42" s="3355"/>
      <c r="C42" s="263">
        <f ca="1">C32</f>
        <v>140249</v>
      </c>
      <c r="D42" s="316">
        <f ca="1">C33</f>
        <v>7708</v>
      </c>
      <c r="E42" s="316">
        <f ca="1">C34</f>
        <v>22584</v>
      </c>
      <c r="F42" s="317">
        <f ca="1">C35</f>
        <v>1506</v>
      </c>
      <c r="G42" s="310"/>
      <c r="H42" s="310"/>
      <c r="I42" s="318"/>
      <c r="J42" s="2028"/>
      <c r="K42" s="1270" t="s">
        <v>357</v>
      </c>
      <c r="L42" s="2045" t="s">
        <v>358</v>
      </c>
      <c r="M42" s="1271" t="s">
        <v>359</v>
      </c>
      <c r="N42" s="2046" t="s">
        <v>360</v>
      </c>
      <c r="O42" s="2047" t="s">
        <v>361</v>
      </c>
      <c r="P42" s="2026"/>
      <c r="V42" s="2026"/>
    </row>
    <row r="43" spans="1:26" ht="30">
      <c r="A43" s="3365" t="s">
        <v>2730</v>
      </c>
      <c r="B43" s="3366"/>
      <c r="C43" s="263">
        <f>IF(H33="正常操作",G33+G34+G35,G34+G35)</f>
        <v>0</v>
      </c>
      <c r="D43" s="316" t="s">
        <v>43</v>
      </c>
      <c r="E43" s="316" t="s">
        <v>44</v>
      </c>
      <c r="F43" s="317" t="s">
        <v>44</v>
      </c>
      <c r="G43" s="2888" t="s">
        <v>948</v>
      </c>
      <c r="H43" s="310"/>
      <c r="I43" s="318"/>
      <c r="J43" s="2028"/>
      <c r="K43" s="1272" t="str">
        <f>C4</f>
        <v>比较法-住宅、综合</v>
      </c>
      <c r="L43" s="1273">
        <f ca="1">IF(L42="估价结果/万元",C19,C20)</f>
        <v>148005</v>
      </c>
      <c r="M43" s="1274">
        <f>C18</f>
        <v>0.5</v>
      </c>
      <c r="N43" s="1275">
        <f ca="1">IF(N42="测算结果/万元",G19,G20)</f>
        <v>140249</v>
      </c>
      <c r="O43" s="1276">
        <f ca="1">IF(O42="最终结果/万元",C32,C33)</f>
        <v>140249</v>
      </c>
      <c r="P43" s="2026"/>
      <c r="V43" s="2026"/>
    </row>
    <row r="44" spans="1:26" ht="30.75" thickBot="1">
      <c r="A44" s="3354" t="str">
        <f>IF(OR(项目基本情况!E8="抵押价格",项目基本情况!E8="已注销及未注销"),"3.抵押价格","——")</f>
        <v>3.抵押价格</v>
      </c>
      <c r="B44" s="3355"/>
      <c r="C44" s="263">
        <f ca="1">IF(A44="——","——",C42-C43)</f>
        <v>140249</v>
      </c>
      <c r="D44" s="316">
        <f ca="1">ROUND(C44*10000/'数据-汇总表'!E3,0)</f>
        <v>7708</v>
      </c>
      <c r="E44" s="316">
        <f ca="1">ROUND(C44*10000/'数据-汇总表'!D3,0)</f>
        <v>22584</v>
      </c>
      <c r="F44" s="317">
        <f ca="1">ROUND(C44/('数据-汇总表'!D3/666.67),0)</f>
        <v>1506</v>
      </c>
      <c r="G44" s="310"/>
      <c r="H44" s="310"/>
      <c r="I44" s="318"/>
      <c r="J44" s="2028"/>
      <c r="K44" s="1277" t="str">
        <f>D4</f>
        <v>剩余法-待开发</v>
      </c>
      <c r="L44" s="1278">
        <f ca="1">IF(L42="估价结果/万元",D19,D20)</f>
        <v>132493</v>
      </c>
      <c r="M44" s="1279">
        <f>D18</f>
        <v>0.5</v>
      </c>
      <c r="N44" s="1280"/>
      <c r="O44" s="1281"/>
      <c r="P44" s="2026"/>
      <c r="V44" s="2026"/>
    </row>
    <row r="45" spans="1:26" ht="15">
      <c r="A45" s="3360" t="str">
        <f>IF(项目基本情况!E8="已注销及未注销","4.抵押担保权已注销时的抵押价格",IF(项目基本情况!E8="已注销","3.抵押担保权已注销时的抵押价格","——"))</f>
        <v>——</v>
      </c>
      <c r="B45" s="3361"/>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56" t="str">
        <f>IF(项目基本情况!E9="抵押净值",IF(A45="——","4.抵押净值","5.抵押净值"),"——")</f>
        <v>——</v>
      </c>
      <c r="B46" s="3357"/>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362</v>
      </c>
      <c r="B47" s="1282"/>
      <c r="C47" s="321" t="s">
        <v>363</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f ca="1">G19+[1]结果表!$G$19</f>
        <v>191094</v>
      </c>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364</v>
      </c>
      <c r="G53" s="336"/>
      <c r="H53" s="336"/>
      <c r="I53" s="337" t="s">
        <v>365</v>
      </c>
      <c r="J53" s="2029"/>
      <c r="K53" s="2026"/>
      <c r="L53" s="2026"/>
      <c r="M53" s="2026"/>
      <c r="N53" s="2026"/>
      <c r="O53" s="2026"/>
      <c r="P53" s="2026"/>
      <c r="Q53" s="2026"/>
      <c r="R53" s="2026"/>
      <c r="S53" s="2026"/>
      <c r="T53" s="2026"/>
      <c r="U53" s="2026"/>
      <c r="V53" s="2026"/>
    </row>
    <row r="54" spans="1:22" ht="12.75">
      <c r="A54" s="256"/>
      <c r="B54" s="338" t="s">
        <v>366</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367</v>
      </c>
      <c r="J56" s="2029"/>
      <c r="K56" s="2026"/>
      <c r="L56" s="2026"/>
      <c r="M56" s="2026"/>
      <c r="N56" s="2026"/>
      <c r="O56" s="2026"/>
      <c r="P56" s="2026"/>
      <c r="Q56" s="2026"/>
      <c r="R56" s="2026"/>
      <c r="S56" s="2026"/>
      <c r="T56" s="2026"/>
      <c r="U56" s="2026"/>
      <c r="V56" s="2026"/>
    </row>
    <row r="57" spans="1:22" ht="12.75">
      <c r="A57" s="256"/>
      <c r="B57" s="338" t="s">
        <v>368</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367</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5"/>
      <c r="E61" s="215"/>
      <c r="F61" s="252"/>
      <c r="G61" s="256"/>
      <c r="H61" s="256"/>
      <c r="I61" s="256"/>
      <c r="J61" s="2029"/>
      <c r="K61" s="2026"/>
      <c r="L61" s="2026"/>
      <c r="M61" s="2026"/>
      <c r="N61" s="2026"/>
      <c r="O61" s="2026"/>
      <c r="P61" s="2026"/>
      <c r="Q61" s="2026"/>
      <c r="R61" s="2026"/>
      <c r="S61" s="2026"/>
      <c r="T61" s="2026"/>
      <c r="U61" s="2026"/>
      <c r="V61" s="2026"/>
    </row>
    <row r="62" spans="1:22" ht="18.75">
      <c r="A62" s="1283" t="s">
        <v>369</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401" t="s">
        <v>370</v>
      </c>
      <c r="B63" s="3402"/>
      <c r="C63" s="3403"/>
      <c r="D63" s="340">
        <f ca="1">ROUND(C42*F63,0)</f>
        <v>84149</v>
      </c>
      <c r="E63" s="301" t="s">
        <v>371</v>
      </c>
      <c r="F63" s="341">
        <v>0.6</v>
      </c>
      <c r="G63" s="342" t="s">
        <v>372</v>
      </c>
      <c r="H63" s="310"/>
      <c r="I63" s="310"/>
      <c r="J63" s="2026"/>
      <c r="K63" s="2026"/>
      <c r="L63" s="2026"/>
      <c r="M63" s="2026"/>
      <c r="N63" s="2026"/>
      <c r="O63" s="2026"/>
      <c r="P63" s="310"/>
      <c r="Q63" s="2026"/>
      <c r="R63" s="2026"/>
      <c r="S63" s="2026"/>
      <c r="T63" s="2026"/>
      <c r="U63" s="2026"/>
      <c r="V63" s="2026"/>
    </row>
    <row r="64" spans="1:22" ht="14.25" customHeight="1">
      <c r="A64" s="3362" t="s">
        <v>374</v>
      </c>
      <c r="B64" s="3363"/>
      <c r="C64" s="3363"/>
      <c r="D64" s="3363"/>
      <c r="E64" s="3363"/>
      <c r="F64" s="3363"/>
      <c r="G64" s="3364"/>
      <c r="H64" s="1287"/>
      <c r="I64" s="947"/>
      <c r="J64" s="1988"/>
      <c r="K64" s="1558" t="s">
        <v>373</v>
      </c>
      <c r="L64" s="11"/>
      <c r="M64" s="11"/>
      <c r="N64" s="11"/>
      <c r="O64" s="11"/>
      <c r="P64" s="310"/>
      <c r="Q64" s="2026"/>
      <c r="R64" s="2026"/>
      <c r="S64" s="2026"/>
      <c r="T64" s="2026"/>
      <c r="U64" s="2026"/>
      <c r="V64" s="2026"/>
    </row>
    <row r="65" spans="1:22" ht="12" customHeight="1">
      <c r="A65" s="343" t="s">
        <v>376</v>
      </c>
      <c r="B65" s="344"/>
      <c r="C65" s="345"/>
      <c r="D65" s="346" t="s">
        <v>377</v>
      </c>
      <c r="E65" s="53" t="s">
        <v>378</v>
      </c>
      <c r="F65" s="347" t="s">
        <v>379</v>
      </c>
      <c r="G65" s="348" t="s">
        <v>380</v>
      </c>
      <c r="H65" s="1287"/>
      <c r="I65" s="947"/>
      <c r="J65" s="1988"/>
      <c r="K65" s="1288"/>
      <c r="L65" s="1289"/>
      <c r="M65" s="1289"/>
      <c r="N65" s="1321" t="s">
        <v>375</v>
      </c>
      <c r="O65" s="1322"/>
      <c r="P65" s="1323"/>
      <c r="Q65" s="2026"/>
      <c r="R65" s="2026"/>
      <c r="S65" s="2026"/>
      <c r="T65" s="2026"/>
      <c r="U65" s="2026"/>
      <c r="V65" s="2026"/>
    </row>
    <row r="66" spans="1:22" ht="25.5">
      <c r="A66" s="3358" t="s">
        <v>382</v>
      </c>
      <c r="B66" s="3359"/>
      <c r="C66" s="3359"/>
      <c r="D66" s="260">
        <f ca="1">IF(H66="情况1",0,IF(H66="情况2",D70,IF(H66="情况3",D71,IF(H66="情况4",D72))))</f>
        <v>4408</v>
      </c>
      <c r="E66" s="992" t="str">
        <f>IF(H66="情况4","(销售额-原购置价)×税（费）率","销售额×税（费）率")</f>
        <v>销售额×税（费）率</v>
      </c>
      <c r="F66" s="349">
        <f>IF(H66="情况1","免征",'数据-取费表'!B41)</f>
        <v>5.5000000000000007E-2</v>
      </c>
      <c r="G66" s="350" t="s">
        <v>383</v>
      </c>
      <c r="H66" s="191" t="s">
        <v>384</v>
      </c>
      <c r="I66" s="1287"/>
      <c r="J66" s="2032"/>
      <c r="K66" s="1290">
        <v>1</v>
      </c>
      <c r="L66" s="3416" t="s">
        <v>381</v>
      </c>
      <c r="M66" s="3417"/>
      <c r="N66" s="2480"/>
      <c r="O66" s="2481"/>
      <c r="P66" s="2482"/>
      <c r="Q66" s="2026"/>
      <c r="R66" s="2026"/>
      <c r="S66" s="2026"/>
      <c r="T66" s="2026"/>
      <c r="U66" s="2026"/>
      <c r="V66" s="2026"/>
    </row>
    <row r="67" spans="1:22" ht="25.5" customHeight="1">
      <c r="A67" s="351" t="s">
        <v>386</v>
      </c>
      <c r="B67" s="3349" t="s">
        <v>387</v>
      </c>
      <c r="C67" s="3349"/>
      <c r="D67" s="352">
        <v>0</v>
      </c>
      <c r="E67" s="41" t="s">
        <v>388</v>
      </c>
      <c r="F67" s="62" t="s">
        <v>21</v>
      </c>
      <c r="G67" s="3404"/>
      <c r="H67" s="310"/>
      <c r="I67" s="1291"/>
      <c r="J67" s="2033"/>
      <c r="K67" s="1974">
        <v>2</v>
      </c>
      <c r="L67" s="3415" t="s">
        <v>385</v>
      </c>
      <c r="M67" s="3415"/>
      <c r="N67" s="1324">
        <f>'数据-取费表'!B2</f>
        <v>43234</v>
      </c>
      <c r="O67" s="1324"/>
      <c r="P67" s="1324"/>
      <c r="Q67" s="2026"/>
      <c r="R67" s="2026"/>
      <c r="S67" s="2026"/>
      <c r="T67" s="2026"/>
      <c r="U67" s="2026"/>
      <c r="V67" s="2026"/>
    </row>
    <row r="68" spans="1:22" ht="25.5" customHeight="1">
      <c r="A68" s="353"/>
      <c r="B68" s="3349" t="s">
        <v>390</v>
      </c>
      <c r="C68" s="3349"/>
      <c r="D68" s="354"/>
      <c r="E68" s="77"/>
      <c r="F68" s="355"/>
      <c r="G68" s="3405"/>
      <c r="H68" s="310"/>
      <c r="I68" s="1291"/>
      <c r="J68" s="2033"/>
      <c r="K68" s="1974">
        <v>3</v>
      </c>
      <c r="L68" s="3415" t="s">
        <v>389</v>
      </c>
      <c r="M68" s="3415"/>
      <c r="N68" s="1292">
        <f ca="1">C42</f>
        <v>140249</v>
      </c>
      <c r="O68" s="1292"/>
      <c r="P68" s="1292"/>
      <c r="Q68" s="2026"/>
      <c r="R68" s="2026"/>
      <c r="S68" s="2026"/>
      <c r="T68" s="2026"/>
      <c r="U68" s="2026"/>
      <c r="V68" s="2026"/>
    </row>
    <row r="69" spans="1:22" ht="12" customHeight="1">
      <c r="A69" s="356"/>
      <c r="B69" s="3349" t="s">
        <v>391</v>
      </c>
      <c r="C69" s="3349"/>
      <c r="D69" s="357"/>
      <c r="E69" s="73"/>
      <c r="F69" s="355"/>
      <c r="G69" s="3406"/>
      <c r="H69" s="310"/>
      <c r="I69" s="1291"/>
      <c r="J69" s="2033"/>
      <c r="K69" s="1293">
        <v>4</v>
      </c>
      <c r="L69" s="3420" t="s">
        <v>2883</v>
      </c>
      <c r="M69" s="3421"/>
      <c r="N69" s="1294">
        <f ca="1">C44</f>
        <v>140249</v>
      </c>
      <c r="O69" s="1294"/>
      <c r="P69" s="1294"/>
      <c r="Q69" s="2026"/>
      <c r="R69" s="2026"/>
      <c r="S69" s="2026"/>
      <c r="T69" s="2026"/>
      <c r="U69" s="2026"/>
      <c r="V69" s="2026"/>
    </row>
    <row r="70" spans="1:22" ht="24" customHeight="1">
      <c r="A70" s="358" t="s">
        <v>392</v>
      </c>
      <c r="B70" s="3349" t="s">
        <v>393</v>
      </c>
      <c r="C70" s="3349"/>
      <c r="D70" s="357">
        <f ca="1">ROUND(D63*'数据-取费表'!B41/(1+'数据-取费表'!C42),0)</f>
        <v>4408</v>
      </c>
      <c r="E70" s="17" t="s">
        <v>394</v>
      </c>
      <c r="F70" s="359">
        <f>'数据-取费表'!B41</f>
        <v>5.5000000000000007E-2</v>
      </c>
      <c r="G70" s="360"/>
      <c r="H70" s="310"/>
      <c r="I70" s="1291"/>
      <c r="J70" s="2033"/>
      <c r="K70" s="3081"/>
      <c r="L70" s="3082"/>
      <c r="M70" s="3082"/>
      <c r="N70" s="3083" t="s">
        <v>2888</v>
      </c>
      <c r="O70" s="3082"/>
      <c r="P70" s="3084"/>
      <c r="Q70" s="2026"/>
      <c r="R70" s="2026"/>
      <c r="S70" s="2026"/>
      <c r="T70" s="2026"/>
      <c r="U70" s="2026"/>
      <c r="V70" s="2026"/>
    </row>
    <row r="71" spans="1:22" ht="12" customHeight="1">
      <c r="A71" s="358" t="s">
        <v>400</v>
      </c>
      <c r="B71" s="3350" t="s">
        <v>401</v>
      </c>
      <c r="C71" s="3351"/>
      <c r="D71" s="357">
        <f ca="1">ROUND(D63*'数据-取费表'!B41/(1+'数据-取费表'!C42),0)</f>
        <v>4408</v>
      </c>
      <c r="E71" s="17" t="s">
        <v>394</v>
      </c>
      <c r="F71" s="359">
        <f>'数据-取费表'!B41</f>
        <v>5.5000000000000007E-2</v>
      </c>
      <c r="G71" s="360"/>
      <c r="H71" s="310"/>
      <c r="I71" s="1291"/>
      <c r="J71" s="2033"/>
      <c r="K71" s="3080" t="s">
        <v>395</v>
      </c>
      <c r="L71" s="3422" t="s">
        <v>396</v>
      </c>
      <c r="M71" s="3422"/>
      <c r="N71" s="3080" t="s">
        <v>397</v>
      </c>
      <c r="O71" s="3080" t="s">
        <v>398</v>
      </c>
      <c r="P71" s="3080" t="s">
        <v>399</v>
      </c>
      <c r="Q71" s="2026"/>
      <c r="R71" s="2026"/>
      <c r="S71" s="2026"/>
      <c r="T71" s="2026"/>
      <c r="U71" s="2026"/>
      <c r="V71" s="2026"/>
    </row>
    <row r="72" spans="1:22" ht="12" customHeight="1">
      <c r="A72" s="358" t="s">
        <v>403</v>
      </c>
      <c r="B72" s="3350" t="s">
        <v>404</v>
      </c>
      <c r="C72" s="3351"/>
      <c r="D72" s="357">
        <f ca="1">C86</f>
        <v>4298</v>
      </c>
      <c r="E72" s="73" t="s">
        <v>405</v>
      </c>
      <c r="F72" s="359">
        <f>'数据-取费表'!B41</f>
        <v>5.5000000000000007E-2</v>
      </c>
      <c r="G72" s="360"/>
      <c r="H72" s="1297"/>
      <c r="I72" s="1291"/>
      <c r="J72" s="2033"/>
      <c r="K72" s="1974">
        <v>1</v>
      </c>
      <c r="L72" s="3397" t="s">
        <v>402</v>
      </c>
      <c r="M72" s="3397"/>
      <c r="N72" s="1295">
        <f ca="1">D66</f>
        <v>4408</v>
      </c>
      <c r="O72" s="1857" t="str">
        <f>E66</f>
        <v>销售额×税（费）率</v>
      </c>
      <c r="P72" s="1296">
        <f>F66</f>
        <v>5.5000000000000007E-2</v>
      </c>
      <c r="Q72" s="2026"/>
      <c r="R72" s="2026"/>
      <c r="S72" s="2026"/>
      <c r="T72" s="2026"/>
      <c r="U72" s="2026"/>
      <c r="V72" s="2026"/>
    </row>
    <row r="73" spans="1:22" ht="24" customHeight="1">
      <c r="A73" s="3391" t="s">
        <v>407</v>
      </c>
      <c r="B73" s="3359"/>
      <c r="C73" s="3359"/>
      <c r="D73" s="361">
        <f>IF(H73="个人住宅",0,ROUND(D63*I73,0))</f>
        <v>0</v>
      </c>
      <c r="E73" s="17" t="s">
        <v>408</v>
      </c>
      <c r="F73" s="359" t="str">
        <f>IF(H73="正常",I73,"免征")</f>
        <v>免征</v>
      </c>
      <c r="G73" s="360"/>
      <c r="H73" s="191" t="s">
        <v>2455</v>
      </c>
      <c r="I73" s="359">
        <f>'数据-取费表'!B49</f>
        <v>5.0000000000000001E-4</v>
      </c>
      <c r="J73" s="2033"/>
      <c r="K73" s="1974">
        <v>2</v>
      </c>
      <c r="L73" s="3397" t="s">
        <v>406</v>
      </c>
      <c r="M73" s="3397"/>
      <c r="N73" s="1295">
        <f t="shared" ref="N73:P74" si="1">D73</f>
        <v>0</v>
      </c>
      <c r="O73" s="1857" t="str">
        <f t="shared" si="1"/>
        <v>销售额×税（费）率</v>
      </c>
      <c r="P73" s="1296" t="str">
        <f t="shared" si="1"/>
        <v>免征</v>
      </c>
      <c r="Q73" s="2026"/>
      <c r="R73" s="2026"/>
      <c r="S73" s="2026"/>
      <c r="T73" s="2026"/>
      <c r="U73" s="2026"/>
      <c r="V73" s="2026"/>
    </row>
    <row r="74" spans="1:22" ht="24.75">
      <c r="A74" s="3391" t="s">
        <v>411</v>
      </c>
      <c r="B74" s="3359"/>
      <c r="C74" s="3359"/>
      <c r="D74" s="361">
        <f ca="1">IF(H74="个人住宅",D75,D76)</f>
        <v>47049</v>
      </c>
      <c r="E74" s="17" t="s">
        <v>412</v>
      </c>
      <c r="F74" s="359" t="str">
        <f>IF(H74="正常",F76,"免征")</f>
        <v>——</v>
      </c>
      <c r="G74" s="982" t="s">
        <v>413</v>
      </c>
      <c r="H74" s="362" t="s">
        <v>409</v>
      </c>
      <c r="I74" s="42"/>
      <c r="J74" s="2033"/>
      <c r="K74" s="1974">
        <v>3</v>
      </c>
      <c r="L74" s="3397" t="s">
        <v>410</v>
      </c>
      <c r="M74" s="3397"/>
      <c r="N74" s="1295">
        <f t="shared" ca="1" si="1"/>
        <v>47049</v>
      </c>
      <c r="O74" s="1857" t="str">
        <f t="shared" si="1"/>
        <v>增值额×税（费）率</v>
      </c>
      <c r="P74" s="1298" t="str">
        <f t="shared" si="1"/>
        <v>——</v>
      </c>
      <c r="Q74" s="2026"/>
      <c r="R74" s="2026"/>
      <c r="S74" s="2026"/>
      <c r="T74" s="2026"/>
      <c r="U74" s="2026"/>
      <c r="V74" s="2026"/>
    </row>
    <row r="75" spans="1:22" ht="24">
      <c r="A75" s="358" t="s">
        <v>414</v>
      </c>
      <c r="B75" s="3347" t="s">
        <v>415</v>
      </c>
      <c r="C75" s="3377"/>
      <c r="D75" s="363">
        <v>0</v>
      </c>
      <c r="E75" s="41" t="s">
        <v>416</v>
      </c>
      <c r="F75" s="364"/>
      <c r="G75" s="360"/>
      <c r="H75" s="42"/>
      <c r="I75" s="42"/>
      <c r="J75" s="2033"/>
      <c r="K75" s="3073">
        <f>IF(H77="非个人房产","",4)</f>
        <v>4</v>
      </c>
      <c r="L75" s="3397" t="str">
        <f>IF(H77="非个人房产","——","个人所得税")</f>
        <v>个人所得税</v>
      </c>
      <c r="M75" s="3397"/>
      <c r="N75" s="1299">
        <f ca="1">D77</f>
        <v>841</v>
      </c>
      <c r="O75" s="1870" t="str">
        <f>E77</f>
        <v>销售额×税（费）率</v>
      </c>
      <c r="P75" s="1300">
        <f>F77</f>
        <v>0.01</v>
      </c>
      <c r="Q75" s="2026"/>
      <c r="R75" s="2026"/>
      <c r="S75" s="2026"/>
      <c r="T75" s="2026"/>
      <c r="U75" s="2026"/>
      <c r="V75" s="2026"/>
    </row>
    <row r="76" spans="1:22" ht="24.75">
      <c r="A76" s="358" t="s">
        <v>392</v>
      </c>
      <c r="B76" s="3347" t="s">
        <v>418</v>
      </c>
      <c r="C76" s="3348"/>
      <c r="D76" s="361">
        <f ca="1">IF(H76="转让取得",C99,C115)</f>
        <v>47049</v>
      </c>
      <c r="E76" s="17" t="s">
        <v>419</v>
      </c>
      <c r="F76" s="53" t="s">
        <v>21</v>
      </c>
      <c r="G76" s="360"/>
      <c r="H76" s="362" t="s">
        <v>420</v>
      </c>
      <c r="I76" s="42"/>
      <c r="J76" s="2033"/>
      <c r="K76" s="3073" t="str">
        <f>IF(项目基本情况!K6="上海银行",IF(K75="",4,K75+1),"")</f>
        <v/>
      </c>
      <c r="L76" s="3408" t="str">
        <f>IF(项目基本情况!K6="上海银行","其他处置费用","")</f>
        <v/>
      </c>
      <c r="M76" s="3409"/>
      <c r="N76" s="1295" t="str">
        <f>IF(项目基本情况!K6="上海银行",N89,"")</f>
        <v/>
      </c>
      <c r="O76" s="3410" t="str">
        <f>IF(项目基本情况!K6="上海银行","包含处置中涉及的律师、诉讼、拍卖、评估等费用","")</f>
        <v/>
      </c>
      <c r="P76" s="3411"/>
      <c r="Q76" s="2026"/>
      <c r="R76" s="2026"/>
      <c r="S76" s="2026"/>
      <c r="T76" s="2026"/>
      <c r="U76" s="2026"/>
      <c r="V76" s="2026"/>
    </row>
    <row r="77" spans="1:22" ht="26.25" thickBot="1">
      <c r="A77" s="3399" t="s">
        <v>422</v>
      </c>
      <c r="B77" s="3400"/>
      <c r="C77" s="3400"/>
      <c r="D77" s="365">
        <f ca="1">IF(H77="非个人房产","——",IF(H77="个人住宅",0,ROUND(D63*I77,0)))</f>
        <v>841</v>
      </c>
      <c r="E77" s="366" t="str">
        <f>IF(H77="非个人房产","——","销售额×税（费）率")</f>
        <v>销售额×税（费）率</v>
      </c>
      <c r="F77" s="367">
        <f>IF(H77="非个人房产","——",IF(H77="个人住宅","免征",I77))</f>
        <v>0.01</v>
      </c>
      <c r="G77" s="983" t="s">
        <v>413</v>
      </c>
      <c r="H77" s="362" t="s">
        <v>2884</v>
      </c>
      <c r="I77" s="368">
        <v>0.01</v>
      </c>
      <c r="J77" s="2033"/>
      <c r="K77" s="3398">
        <f>IF(AND(K75="",K76=""),4,IF(项目基本情况!K6="上海银行",K76+1,K75+1))</f>
        <v>5</v>
      </c>
      <c r="L77" s="3397" t="s">
        <v>2885</v>
      </c>
      <c r="M77" s="3079" t="s">
        <v>417</v>
      </c>
      <c r="N77" s="1301"/>
      <c r="O77" s="1302">
        <f ca="1">SUMIF(N72:N76,"&lt;9e307")</f>
        <v>52298</v>
      </c>
      <c r="P77" s="1303"/>
      <c r="Q77" s="3077">
        <f ca="1">O77/N69</f>
        <v>0.37289392437735741</v>
      </c>
      <c r="R77" s="2026"/>
      <c r="S77" s="2026"/>
      <c r="T77" s="2026"/>
      <c r="U77" s="2026"/>
      <c r="V77" s="2026"/>
    </row>
    <row r="78" spans="1:22" ht="12" customHeight="1">
      <c r="A78" s="1304"/>
      <c r="B78" s="310"/>
      <c r="C78" s="310"/>
      <c r="D78" s="310"/>
      <c r="E78" s="42"/>
      <c r="F78" s="42"/>
      <c r="G78" s="42"/>
      <c r="H78" s="1002"/>
      <c r="I78" s="310"/>
      <c r="J78" s="2033"/>
      <c r="K78" s="3398"/>
      <c r="L78" s="3397"/>
      <c r="M78" s="3079" t="s">
        <v>421</v>
      </c>
      <c r="N78" s="1301"/>
      <c r="O78" s="1302" t="str">
        <f ca="1">NUMBERSTRING(INT(O77*10000),2)&amp;"元整"</f>
        <v>伍亿贰仟贰佰玖拾捌万元整</v>
      </c>
      <c r="P78" s="1303"/>
      <c r="Q78" s="2026"/>
      <c r="R78" s="2026"/>
      <c r="S78" s="2026"/>
      <c r="T78" s="2026"/>
      <c r="U78" s="2026"/>
      <c r="V78" s="2026"/>
    </row>
    <row r="79" spans="1:22" ht="13.5" thickBot="1">
      <c r="A79" s="3392" t="s">
        <v>423</v>
      </c>
      <c r="B79" s="3392"/>
      <c r="C79" s="3392"/>
      <c r="D79" s="3392"/>
      <c r="E79" s="3392"/>
      <c r="F79" s="42"/>
      <c r="G79" s="42"/>
      <c r="H79" s="1002"/>
      <c r="I79" s="310"/>
      <c r="J79" s="2033"/>
      <c r="K79" s="3418">
        <f>K77+1</f>
        <v>6</v>
      </c>
      <c r="L79" s="3397" t="s">
        <v>2886</v>
      </c>
      <c r="M79" s="3079" t="s">
        <v>417</v>
      </c>
      <c r="N79" s="1301"/>
      <c r="O79" s="1302">
        <f ca="1">N69-O77</f>
        <v>87951</v>
      </c>
      <c r="P79" s="1303"/>
      <c r="Q79" s="2026"/>
      <c r="R79" s="2026"/>
      <c r="S79" s="2026"/>
      <c r="T79" s="2026"/>
      <c r="U79" s="2026"/>
      <c r="V79" s="2026"/>
    </row>
    <row r="80" spans="1:22" ht="25.5">
      <c r="A80" s="3387" t="s">
        <v>424</v>
      </c>
      <c r="B80" s="3388"/>
      <c r="C80" s="993"/>
      <c r="D80" s="993" t="s">
        <v>425</v>
      </c>
      <c r="E80" s="369" t="s">
        <v>426</v>
      </c>
      <c r="F80" s="42"/>
      <c r="G80" s="42"/>
      <c r="H80" s="1002"/>
      <c r="I80" s="310"/>
      <c r="J80" s="2026"/>
      <c r="K80" s="3419"/>
      <c r="L80" s="3397"/>
      <c r="M80" s="3079" t="s">
        <v>421</v>
      </c>
      <c r="N80" s="1301"/>
      <c r="O80" s="1302" t="str">
        <f ca="1">NUMBERSTRING(INT(O79*10000),2)&amp;"元整"</f>
        <v>捌亿柒仟玖佰伍拾壹万元整</v>
      </c>
      <c r="P80" s="1303"/>
      <c r="Q80" s="2026"/>
      <c r="R80" s="2026"/>
      <c r="S80" s="2026"/>
      <c r="T80" s="2026"/>
      <c r="U80" s="2026"/>
      <c r="V80" s="2026"/>
    </row>
    <row r="81" spans="1:26" ht="13.5" thickBot="1">
      <c r="A81" s="380" t="s">
        <v>1820</v>
      </c>
      <c r="B81" s="370" t="s">
        <v>427</v>
      </c>
      <c r="C81" s="371">
        <f ca="1">ROUND((C82+C83)/(1+'数据-取费表'!C42),0)</f>
        <v>80142</v>
      </c>
      <c r="D81" s="372"/>
      <c r="E81" s="373"/>
      <c r="F81" s="42"/>
      <c r="G81" s="42"/>
      <c r="H81" s="1002"/>
      <c r="I81" s="310"/>
      <c r="J81" s="2026"/>
      <c r="K81" s="3073">
        <f>K79+1</f>
        <v>7</v>
      </c>
      <c r="L81" s="3395" t="s">
        <v>2887</v>
      </c>
      <c r="M81" s="3396"/>
      <c r="N81" s="1305"/>
      <c r="O81" s="1306">
        <f ca="1">ROUND(O79*10000/'数据-汇总表'!E3,0)</f>
        <v>4834</v>
      </c>
      <c r="P81" s="1307"/>
      <c r="Q81" s="2026"/>
      <c r="R81" s="2026"/>
      <c r="S81" s="2026"/>
      <c r="T81" s="2026"/>
      <c r="U81" s="2026"/>
      <c r="V81" s="2026"/>
    </row>
    <row r="82" spans="1:26" ht="13.5" thickTop="1">
      <c r="A82" s="374" t="s">
        <v>1821</v>
      </c>
      <c r="B82" s="375" t="s">
        <v>428</v>
      </c>
      <c r="C82" s="376">
        <f ca="1">D63</f>
        <v>84149</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1822</v>
      </c>
      <c r="B83" s="375" t="s">
        <v>429</v>
      </c>
      <c r="C83" s="379">
        <v>0</v>
      </c>
      <c r="D83" s="377"/>
      <c r="E83" s="378"/>
      <c r="F83" s="42"/>
      <c r="G83" s="42"/>
      <c r="H83" s="1002"/>
      <c r="I83" s="310"/>
      <c r="J83" s="2026"/>
      <c r="K83" s="3407" t="s">
        <v>2874</v>
      </c>
      <c r="L83" s="3085" t="s">
        <v>2875</v>
      </c>
      <c r="M83" s="3075">
        <f ca="1">IF(N69&gt;10000,N69*0.5%,IF(AND(N69&gt;1000,N69&lt;=10000),N69*1%,IF(AND(N69&gt;100,N69&lt;=1000),N69*3%,IF(AND(N69&gt;10,N69&lt;=100),N69*5%,N69*8%))))</f>
        <v>701.245</v>
      </c>
      <c r="N83" s="53">
        <f ca="1">ROUND(M83,1)</f>
        <v>701.2</v>
      </c>
      <c r="O83" s="3078"/>
      <c r="P83" s="2026"/>
      <c r="Q83" s="2026"/>
      <c r="R83" s="2026"/>
      <c r="S83" s="2026"/>
      <c r="T83" s="2026"/>
      <c r="U83" s="2026"/>
      <c r="V83" s="2026"/>
    </row>
    <row r="84" spans="1:26" ht="12.75">
      <c r="A84" s="380" t="s">
        <v>1823</v>
      </c>
      <c r="B84" s="381" t="s">
        <v>430</v>
      </c>
      <c r="C84" s="382">
        <v>2000</v>
      </c>
      <c r="D84" s="383" t="s">
        <v>19</v>
      </c>
      <c r="E84" s="3119" t="s">
        <v>2941</v>
      </c>
      <c r="F84" s="42"/>
      <c r="G84" s="42"/>
      <c r="H84" s="1002"/>
      <c r="I84" s="310"/>
      <c r="J84" s="2026"/>
      <c r="K84" s="3407"/>
      <c r="L84" s="3085" t="s">
        <v>2876</v>
      </c>
      <c r="M84" s="3075">
        <f ca="1">IF(N69&gt;2000,N69*0.5%,IF(AND(N69&gt;1000,N69&lt;=2000),N69*0.6%,IF(AND(N69&gt;500,N69&lt;=1000),N69*0.7%,IF(AND(N69&gt;200,N69&lt;=500),N69*0.8%,IF(AND(N69&gt;100,N69&lt;=200),N69*0.9%,IF(AND(N69&gt;50,N69&lt;=100),N69*1%,IF(AND(N69&gt;20,N69&lt;=50),N69*1.5%,IF(AND(N69&gt;10,N69&lt;=20),N69*2%,IF(AND(N69&gt;1,N69&lt;=10),N69*2.5%)))))))))</f>
        <v>701.245</v>
      </c>
      <c r="N84" s="53">
        <f t="shared" ref="N84:N85" ca="1" si="2">ROUND(M84,1)</f>
        <v>701.2</v>
      </c>
      <c r="O84" s="2026" t="s">
        <v>2877</v>
      </c>
      <c r="P84" s="2026"/>
      <c r="Q84" s="2026"/>
      <c r="R84" s="2026"/>
      <c r="S84" s="2026"/>
      <c r="T84" s="2026"/>
      <c r="U84" s="2026"/>
      <c r="V84" s="2026"/>
    </row>
    <row r="85" spans="1:26" ht="12.75">
      <c r="A85" s="380" t="s">
        <v>1824</v>
      </c>
      <c r="B85" s="381" t="s">
        <v>431</v>
      </c>
      <c r="C85" s="384">
        <f ca="1">C81-C84</f>
        <v>78142</v>
      </c>
      <c r="D85" s="377" t="s">
        <v>19</v>
      </c>
      <c r="E85" s="378"/>
      <c r="F85" s="42"/>
      <c r="G85" s="42"/>
      <c r="H85" s="1002"/>
      <c r="I85" s="310"/>
      <c r="J85" s="2026"/>
      <c r="K85" s="3407"/>
      <c r="L85" s="3085" t="s">
        <v>2878</v>
      </c>
      <c r="M85" s="3075">
        <f ca="1">IF(N69&gt;1000,N69*0.1%,IF(AND(N69&gt;500,N69&lt;=1000),N69*0.5%,IF(AND(N69&gt;50,N69&lt;=500),N69*1%,IF(AND(N69&gt;1,N69&lt;=50),N69*1.5%))))</f>
        <v>140.249</v>
      </c>
      <c r="N85" s="53">
        <f t="shared" ca="1" si="2"/>
        <v>140.19999999999999</v>
      </c>
      <c r="O85" s="2026" t="s">
        <v>2877</v>
      </c>
      <c r="P85" s="2026"/>
      <c r="Q85" s="2026"/>
      <c r="R85" s="2026"/>
      <c r="S85" s="2026"/>
      <c r="T85" s="2026"/>
      <c r="U85" s="2026"/>
      <c r="V85" s="2026"/>
    </row>
    <row r="86" spans="1:26" ht="13.5" thickBot="1">
      <c r="A86" s="385" t="s">
        <v>1825</v>
      </c>
      <c r="B86" s="386" t="s">
        <v>432</v>
      </c>
      <c r="C86" s="387">
        <f ca="1">IF(C85&lt;=0,0,ROUND(C85*D86,0))</f>
        <v>4298</v>
      </c>
      <c r="D86" s="388">
        <f>'数据-取费表'!B41</f>
        <v>5.5000000000000007E-2</v>
      </c>
      <c r="E86" s="389"/>
      <c r="F86" s="42"/>
      <c r="G86" s="42"/>
      <c r="H86" s="1002"/>
      <c r="I86" s="310"/>
      <c r="J86" s="2026"/>
      <c r="K86" s="3407"/>
      <c r="L86" s="3085" t="s">
        <v>2879</v>
      </c>
      <c r="M86" s="3075">
        <f ca="1">N69*0.5%</f>
        <v>701.245</v>
      </c>
      <c r="N86" s="53">
        <f ca="1">IF(M86&gt;0.5,0.5,ROUND(M86,0))</f>
        <v>0.5</v>
      </c>
      <c r="O86" s="2026" t="s">
        <v>2880</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407"/>
      <c r="L87" s="3085" t="s">
        <v>2881</v>
      </c>
      <c r="M87" s="3075">
        <f ca="1">IF(N69&gt;=10000,(8.25+(N69-10000)*0.01%),IF(AND(N69&gt;=8000,N69&lt;10000),(7.85+(N69-8000)*0.02%),IF(AND(N69&gt;=5000,N69&lt;8000),(6.65+(N69-5000)*0.04%),IF(AND(N69&gt;=2000,N69&lt;5000),(4.25+(PN69-2000)*0.08%),IF(AND(N69&gt;=1000,N69&lt;2000),(2.75+(N69-1000)*0.15%),IF(AND(N69&gt;=100,N69&lt;1000),(0.5+(N69-100)*0.25%),IF(AND(N69&gt;0,N69&lt;100),N69*0.5%)))))))</f>
        <v>21.274900000000002</v>
      </c>
      <c r="N87" s="53">
        <f ca="1">ROUND(M87*0.9,1)</f>
        <v>19.100000000000001</v>
      </c>
      <c r="O87" s="3078"/>
      <c r="P87" s="310"/>
      <c r="Q87" s="2026"/>
      <c r="R87" s="2026"/>
      <c r="S87" s="2026"/>
      <c r="T87" s="2026"/>
      <c r="U87" s="2026"/>
      <c r="V87" s="2026"/>
      <c r="W87" s="291"/>
      <c r="X87" s="291"/>
      <c r="Y87" s="291"/>
      <c r="Z87" s="291"/>
    </row>
    <row r="88" spans="1:26" s="1313" customFormat="1" ht="15" thickBot="1">
      <c r="A88" s="3389" t="s">
        <v>433</v>
      </c>
      <c r="B88" s="3390"/>
      <c r="C88" s="3390"/>
      <c r="D88" s="3390"/>
      <c r="E88" s="3390"/>
      <c r="F88" s="3390"/>
      <c r="G88" s="3390"/>
      <c r="H88" s="3390"/>
      <c r="I88" s="1314"/>
      <c r="J88" s="2034"/>
      <c r="K88" s="3407"/>
      <c r="L88" s="3085" t="s">
        <v>2882</v>
      </c>
      <c r="M88" s="3075">
        <f ca="1">IF(N69&gt;10000,N69*0.5%,IF(AND(N69&gt;5000,N69&lt;=10000),N69*1%,IF(AND(N69&gt;1000,N69&lt;=5000),N69*2%,IF(AND(N69&gt;200,N69&lt;=1000),N69*3%,N69*5%))))</f>
        <v>701.245</v>
      </c>
      <c r="N88" s="53">
        <f ca="1">ROUND(M88,1)</f>
        <v>701.2</v>
      </c>
      <c r="O88" s="3078"/>
      <c r="P88" s="11"/>
      <c r="Q88" s="2031"/>
      <c r="R88" s="2031"/>
      <c r="S88" s="2031"/>
      <c r="T88" s="2031"/>
      <c r="U88" s="2031"/>
      <c r="V88" s="2031"/>
      <c r="W88" s="2035"/>
      <c r="X88" s="2035"/>
      <c r="Y88" s="2035"/>
      <c r="Z88" s="2035"/>
    </row>
    <row r="89" spans="1:26" s="1313" customFormat="1" ht="14.25">
      <c r="A89" s="3387" t="s">
        <v>424</v>
      </c>
      <c r="B89" s="3388"/>
      <c r="C89" s="993"/>
      <c r="D89" s="993" t="s">
        <v>425</v>
      </c>
      <c r="E89" s="390" t="s">
        <v>434</v>
      </c>
      <c r="F89" s="391"/>
      <c r="G89" s="391"/>
      <c r="H89" s="392"/>
      <c r="I89" s="1315"/>
      <c r="J89" s="2036"/>
      <c r="K89" s="3407"/>
      <c r="L89" s="3085" t="s">
        <v>27</v>
      </c>
      <c r="M89" s="3076"/>
      <c r="N89" s="53">
        <f ca="1">ROUND(SUM(N83:N88),0)</f>
        <v>2263</v>
      </c>
      <c r="O89" s="3086">
        <f ca="1">N89/N69</f>
        <v>1.6135587419518142E-2</v>
      </c>
      <c r="P89" s="2031"/>
      <c r="Q89" s="2031"/>
      <c r="R89" s="2031"/>
      <c r="S89" s="2031"/>
      <c r="T89" s="2031"/>
      <c r="U89" s="2031"/>
      <c r="V89" s="2031"/>
      <c r="W89" s="2035"/>
      <c r="X89" s="2035"/>
      <c r="Y89" s="2035"/>
      <c r="Z89" s="2035"/>
    </row>
    <row r="90" spans="1:26" s="1313" customFormat="1" ht="14.25">
      <c r="A90" s="380" t="s">
        <v>1820</v>
      </c>
      <c r="B90" s="381" t="s">
        <v>435</v>
      </c>
      <c r="C90" s="384">
        <f ca="1">ROUND(D63/(1+'数据-取费表'!C42),0)</f>
        <v>80142</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1826</v>
      </c>
      <c r="B91" s="347" t="s">
        <v>436</v>
      </c>
      <c r="C91" s="384">
        <f ca="1">C92+C96</f>
        <v>2962</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1827</v>
      </c>
      <c r="B92" s="375" t="s">
        <v>437</v>
      </c>
      <c r="C92" s="377">
        <f>ROUND(IF(G95="2016年5月1日后购买",C93/(1+'数据-取费表'!C30)+C94+C95,C93+C94+C95),0)</f>
        <v>2561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1828</v>
      </c>
      <c r="B93" s="375" t="s">
        <v>438</v>
      </c>
      <c r="C93" s="395">
        <v>2000</v>
      </c>
      <c r="D93" s="377" t="s">
        <v>19</v>
      </c>
      <c r="E93" s="396" t="s">
        <v>439</v>
      </c>
      <c r="F93" s="397" t="s">
        <v>440</v>
      </c>
      <c r="G93" s="396" t="s">
        <v>441</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1829</v>
      </c>
      <c r="B94" s="399" t="s">
        <v>442</v>
      </c>
      <c r="C94" s="377">
        <f>IF(F93="购房发票",ROUND(C93*H93*5%,0),0)</f>
        <v>500</v>
      </c>
      <c r="D94" s="400">
        <v>0.05</v>
      </c>
      <c r="E94" s="3350" t="s">
        <v>443</v>
      </c>
      <c r="F94" s="3349"/>
      <c r="G94" s="3349"/>
      <c r="H94" s="3386"/>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1831</v>
      </c>
      <c r="B96" s="375" t="s">
        <v>446</v>
      </c>
      <c r="C96" s="404">
        <f ca="1">ROUND(D63*D96/(1+'数据-取费表'!C42),0)</f>
        <v>401</v>
      </c>
      <c r="D96" s="405">
        <f>'数据-取费表'!B43</f>
        <v>5.000000000000001E-3</v>
      </c>
      <c r="E96" s="3378" t="s">
        <v>2428</v>
      </c>
      <c r="F96" s="3379"/>
      <c r="G96" s="3379"/>
      <c r="H96" s="3380"/>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4" t="s">
        <v>1832</v>
      </c>
      <c r="B97" s="381" t="s">
        <v>447</v>
      </c>
      <c r="C97" s="384">
        <f ca="1">C90-C91</f>
        <v>77180</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4" t="s">
        <v>1833</v>
      </c>
      <c r="B98" s="381" t="s">
        <v>448</v>
      </c>
      <c r="C98" s="406">
        <f ca="1">IF(C97&lt;=0,0,C97/C91)</f>
        <v>26.056718433490886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5" t="s">
        <v>1834</v>
      </c>
      <c r="B99" s="386" t="s">
        <v>449</v>
      </c>
      <c r="C99" s="407">
        <f ca="1">ROUND(IF(C97&lt;=0,0,IF(C98&gt;=200%,C97*60%-C91*35%,IF(C98&gt;=100%,C97*50%-C91*15%,IF(C98&gt;=50%,C97*40%-C91*5%,IF(C98&lt;50%,C97*30%,0))))),0)</f>
        <v>45271</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89" t="s">
        <v>450</v>
      </c>
      <c r="B101" s="3390"/>
      <c r="C101" s="3390"/>
      <c r="D101" s="3390"/>
      <c r="E101" s="3390"/>
      <c r="F101" s="3390"/>
      <c r="G101" s="3390"/>
      <c r="H101" s="3390"/>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87" t="s">
        <v>424</v>
      </c>
      <c r="B102" s="3388"/>
      <c r="C102" s="993"/>
      <c r="D102" s="993" t="s">
        <v>425</v>
      </c>
      <c r="E102" s="390" t="s">
        <v>434</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1820</v>
      </c>
      <c r="B103" s="381" t="s">
        <v>435</v>
      </c>
      <c r="C103" s="384">
        <f ca="1">ROUND(D63/(1+'数据-取费表'!C42),0)</f>
        <v>80142</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1826</v>
      </c>
      <c r="B104" s="347" t="s">
        <v>436</v>
      </c>
      <c r="C104" s="384">
        <f ca="1">IF(H106="仅含出让金",C105+C108+C109+C110+C111+C112,C105+C109+C110+C111+C112)</f>
        <v>1091</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1827</v>
      </c>
      <c r="B105" s="375" t="s">
        <v>451</v>
      </c>
      <c r="C105" s="404">
        <f>C106+C107</f>
        <v>572</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1828</v>
      </c>
      <c r="B106" s="375" t="s">
        <v>452</v>
      </c>
      <c r="C106" s="415">
        <v>555</v>
      </c>
      <c r="D106" s="405"/>
      <c r="E106" s="416" t="s">
        <v>453</v>
      </c>
      <c r="F106" s="985"/>
      <c r="G106" s="417" t="s">
        <v>454</v>
      </c>
      <c r="H106" s="418" t="s">
        <v>2439</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1829</v>
      </c>
      <c r="B107" s="375" t="s">
        <v>444</v>
      </c>
      <c r="C107" s="404">
        <f>ROUND(C106*D107,0)</f>
        <v>17</v>
      </c>
      <c r="D107" s="405">
        <f>'数据-取费表'!B48+'数据-取费表'!B49</f>
        <v>3.0499999999999999E-2</v>
      </c>
      <c r="E107" s="416" t="s">
        <v>455</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1831</v>
      </c>
      <c r="B108" s="375" t="s">
        <v>456</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6" t="s">
        <v>1835</v>
      </c>
      <c r="B109" s="375" t="s">
        <v>457</v>
      </c>
      <c r="C109" s="404">
        <f>IF(H109="——",IF(F1="现房",'剩余法-现房'!C18,'剩余法-待开发'!C18),I109)</f>
        <v>55</v>
      </c>
      <c r="D109" s="405"/>
      <c r="E109" s="3381" t="s">
        <v>458</v>
      </c>
      <c r="F109" s="3379"/>
      <c r="G109" s="3379"/>
      <c r="H109" s="1939" t="s">
        <v>2278</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6" t="s">
        <v>1836</v>
      </c>
      <c r="B110" s="375" t="s">
        <v>459</v>
      </c>
      <c r="C110" s="404">
        <f>ROUND((C105+C108+C109)*D110,0)</f>
        <v>63</v>
      </c>
      <c r="D110" s="405">
        <v>0.1</v>
      </c>
      <c r="E110" s="3381" t="s">
        <v>460</v>
      </c>
      <c r="F110" s="3379"/>
      <c r="G110" s="3379"/>
      <c r="H110" s="3380"/>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6" t="s">
        <v>1837</v>
      </c>
      <c r="B111" s="375" t="s">
        <v>446</v>
      </c>
      <c r="C111" s="404">
        <f ca="1">ROUND(D63*D111/(1+'数据-取费表'!C42),0)</f>
        <v>401</v>
      </c>
      <c r="D111" s="405">
        <f>'数据-取费表'!B43</f>
        <v>5.000000000000001E-3</v>
      </c>
      <c r="E111" s="3378" t="s">
        <v>2428</v>
      </c>
      <c r="F111" s="3379"/>
      <c r="G111" s="3379"/>
      <c r="H111" s="3380"/>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6" t="s">
        <v>1838</v>
      </c>
      <c r="B112" s="375" t="s">
        <v>461</v>
      </c>
      <c r="C112" s="404">
        <f>ROUND(C108*D112,0)</f>
        <v>0</v>
      </c>
      <c r="D112" s="405">
        <v>0.2</v>
      </c>
      <c r="E112" s="3381" t="s">
        <v>2453</v>
      </c>
      <c r="F112" s="3379"/>
      <c r="G112" s="3379"/>
      <c r="H112" s="3380"/>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4" t="s">
        <v>1832</v>
      </c>
      <c r="B113" s="381" t="s">
        <v>447</v>
      </c>
      <c r="C113" s="384">
        <f ca="1">ROUND(C103-C104,0)</f>
        <v>79051</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4" t="s">
        <v>1833</v>
      </c>
      <c r="B114" s="381" t="s">
        <v>448</v>
      </c>
      <c r="C114" s="406">
        <f ca="1">IF(C113&lt;=0,0,C113/C104)</f>
        <v>72.457378551787357</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5" t="s">
        <v>1834</v>
      </c>
      <c r="B115" s="386" t="s">
        <v>449</v>
      </c>
      <c r="C115" s="407">
        <f ca="1">ROUND(IF(C113&lt;=0,0,IF(C114&gt;=200%,C113*60%-C104*35%,IF(C114&gt;=100%,C113*50%-C104*15%,IF(C114&gt;=50%,C113*40%-C104*5%,IF(C114&lt;50%,C113*30%,0))))),0)</f>
        <v>47049</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1898</v>
      </c>
      <c r="B36" s="1651" t="s">
        <v>1899</v>
      </c>
    </row>
    <row r="37" spans="1:9" ht="28.5" customHeight="1">
      <c r="A37" s="1651"/>
      <c r="B37" s="3255" t="str">
        <f>项目基本情况!B1</f>
        <v>北京市房山区周口店镇02街区02-0001地块出让国有建设用地使用权抵押价格预评估</v>
      </c>
      <c r="C37" s="3255"/>
      <c r="D37" s="3255"/>
      <c r="E37" s="3255"/>
      <c r="F37" s="3255"/>
      <c r="G37" s="3255"/>
      <c r="H37" s="3255"/>
      <c r="I37" s="3255"/>
    </row>
    <row r="38" spans="1:9">
      <c r="A38" s="1653"/>
      <c r="B38" s="1653"/>
    </row>
    <row r="39" spans="1:9">
      <c r="A39" s="1651" t="s">
        <v>1898</v>
      </c>
      <c r="B39" s="1651" t="s">
        <v>2045</v>
      </c>
    </row>
    <row r="40" spans="1:9">
      <c r="A40" s="1651"/>
      <c r="B40" s="1651" t="str">
        <f>项目基本情况!B5</f>
        <v>北京凯华房地产开发有限公司</v>
      </c>
    </row>
    <row r="41" spans="1:9">
      <c r="A41" s="1651"/>
      <c r="B41" s="1651"/>
    </row>
    <row r="42" spans="1:9">
      <c r="A42" s="1651" t="s">
        <v>1898</v>
      </c>
      <c r="B42" s="1651" t="s">
        <v>2046</v>
      </c>
    </row>
    <row r="43" spans="1:9">
      <c r="A43" s="1651"/>
      <c r="B43" s="1651" t="s">
        <v>1900</v>
      </c>
    </row>
    <row r="44" spans="1:9">
      <c r="A44" s="1651"/>
      <c r="B44" s="1651"/>
    </row>
    <row r="45" spans="1:9">
      <c r="A45" s="1651" t="s">
        <v>1898</v>
      </c>
      <c r="B45" s="1651" t="s">
        <v>2044</v>
      </c>
    </row>
    <row r="46" spans="1:9" s="1651" customFormat="1" ht="12.75">
      <c r="B46" s="1651" t="str">
        <f>项目基本情况!K4</f>
        <v>土地估价师、土地估价师</v>
      </c>
    </row>
    <row r="47" spans="1:9">
      <c r="A47" s="1651"/>
      <c r="B47" s="1651"/>
    </row>
    <row r="48" spans="1:9">
      <c r="A48" s="1651" t="s">
        <v>1898</v>
      </c>
      <c r="B48" s="1651" t="s">
        <v>2047</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5" zoomScale="80" zoomScaleNormal="95" zoomScaleSheetLayoutView="80" workbookViewId="0">
      <selection activeCell="E45" sqref="E45"/>
    </sheetView>
  </sheetViews>
  <sheetFormatPr defaultRowHeight="14.25"/>
  <cols>
    <col min="1" max="1" width="15.625" style="1336" customWidth="1"/>
    <col min="2" max="2" width="15.75" style="1336" customWidth="1"/>
    <col min="3" max="3" width="21" style="1336" customWidth="1"/>
    <col min="4" max="4" width="16"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512</v>
      </c>
      <c r="B1" s="502"/>
      <c r="C1" s="503" t="s">
        <v>513</v>
      </c>
      <c r="D1" s="504" t="s">
        <v>514</v>
      </c>
      <c r="E1" s="505"/>
      <c r="F1" s="427"/>
      <c r="G1" s="505"/>
      <c r="H1" s="505"/>
      <c r="I1" s="505"/>
      <c r="J1" s="505"/>
      <c r="K1" s="506"/>
      <c r="L1" s="1559"/>
      <c r="M1" s="1560"/>
      <c r="N1" s="1560"/>
      <c r="O1" s="1560"/>
      <c r="P1" s="1561"/>
      <c r="Q1" s="1561"/>
      <c r="R1" s="1561"/>
      <c r="S1" s="1561"/>
      <c r="T1" s="1561"/>
      <c r="U1" s="1561"/>
      <c r="V1" s="1561"/>
      <c r="W1" s="1561"/>
      <c r="X1" s="1561"/>
      <c r="Y1" s="1561"/>
      <c r="Z1" s="1561"/>
      <c r="AA1" s="1561"/>
      <c r="AB1" s="1561"/>
      <c r="AC1" s="1562"/>
      <c r="AD1" s="1334"/>
    </row>
    <row r="2" spans="1:30" s="1335" customFormat="1" ht="28.5" customHeight="1">
      <c r="A2" s="422" t="s">
        <v>463</v>
      </c>
      <c r="B2" s="507">
        <f>F68</f>
        <v>148005</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c r="AD2" s="1334"/>
    </row>
    <row r="3" spans="1:30" s="1335" customFormat="1" ht="28.5" customHeight="1">
      <c r="A3" s="1376" t="s">
        <v>1681</v>
      </c>
      <c r="B3" s="509">
        <f>ROUND(B2*10000/'数据-汇总表'!E3,0)</f>
        <v>8134</v>
      </c>
      <c r="C3" s="2059"/>
      <c r="D3" s="2592"/>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30" s="1335" customFormat="1" ht="28.5" customHeight="1">
      <c r="A4" s="510" t="s">
        <v>516</v>
      </c>
      <c r="B4" s="426">
        <f>IF(B48="单位面积地价",C50,ROUND(B2*10000/'数据-汇总表'!D3,0))</f>
        <v>23833</v>
      </c>
      <c r="C4" s="2059"/>
      <c r="D4" s="2592"/>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30" s="1335" customFormat="1" ht="28.5" customHeight="1" thickBot="1">
      <c r="A5" s="428"/>
      <c r="B5" s="429">
        <f>ROUND(B2/('数据-汇总表'!D3/666.67),0)</f>
        <v>1589</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1"/>
      <c r="AC5" s="427"/>
    </row>
    <row r="6" spans="1:30" ht="20.25">
      <c r="A6" s="511" t="s">
        <v>517</v>
      </c>
      <c r="B6" s="512"/>
      <c r="C6" s="3432" t="s">
        <v>518</v>
      </c>
      <c r="D6" s="3433"/>
      <c r="E6" s="3432" t="s">
        <v>519</v>
      </c>
      <c r="F6" s="3433"/>
      <c r="G6" s="3432" t="s">
        <v>520</v>
      </c>
      <c r="H6" s="3433"/>
      <c r="I6" s="3432" t="s">
        <v>521</v>
      </c>
      <c r="J6" s="3433"/>
      <c r="K6" s="513" t="s">
        <v>522</v>
      </c>
      <c r="L6" s="2131"/>
      <c r="M6" s="2130"/>
      <c r="N6" s="2130"/>
      <c r="O6" s="2132"/>
      <c r="P6" s="3434" t="s">
        <v>523</v>
      </c>
      <c r="Q6" s="3435"/>
      <c r="R6" s="3440" t="s">
        <v>519</v>
      </c>
      <c r="S6" s="3441"/>
      <c r="T6" s="3440" t="s">
        <v>520</v>
      </c>
      <c r="U6" s="3441"/>
      <c r="V6" s="3427" t="s">
        <v>521</v>
      </c>
      <c r="W6" s="3427"/>
      <c r="X6" s="1564"/>
      <c r="Y6" s="3440" t="s">
        <v>523</v>
      </c>
      <c r="Z6" s="3441"/>
      <c r="AA6" s="3429" t="s">
        <v>519</v>
      </c>
      <c r="AB6" s="3430" t="s">
        <v>520</v>
      </c>
      <c r="AC6" s="3429" t="s">
        <v>521</v>
      </c>
    </row>
    <row r="7" spans="1:30" ht="42" customHeight="1">
      <c r="A7" s="514"/>
      <c r="B7" s="515"/>
      <c r="C7" s="3448" t="s">
        <v>2928</v>
      </c>
      <c r="D7" s="3449"/>
      <c r="E7" s="3448" t="str">
        <f>面积表!A2</f>
        <v>北京市房山区良乡镇中心区01-17-02等地块R2二类居住用地、B1商业用地</v>
      </c>
      <c r="F7" s="3449"/>
      <c r="G7" s="3448" t="str">
        <f>面积表!A3</f>
        <v>房山区拱辰街道16-01-07等地块(良乡高教园区西部生活区东区)</v>
      </c>
      <c r="H7" s="3449"/>
      <c r="I7" s="3448" t="str">
        <f>面积表!A4</f>
        <v>房山区阎村镇04街区04-0005等地块</v>
      </c>
      <c r="J7" s="3449"/>
      <c r="K7" s="513"/>
      <c r="L7" s="2131"/>
      <c r="M7" s="2130"/>
      <c r="N7" s="2130"/>
      <c r="O7" s="2132"/>
      <c r="P7" s="3436"/>
      <c r="Q7" s="3437"/>
      <c r="R7" s="3442"/>
      <c r="S7" s="3443"/>
      <c r="T7" s="3442"/>
      <c r="U7" s="3443"/>
      <c r="V7" s="3427"/>
      <c r="W7" s="3427"/>
      <c r="X7" s="1564"/>
      <c r="Y7" s="3442"/>
      <c r="Z7" s="3443"/>
      <c r="AA7" s="3430"/>
      <c r="AB7" s="3430"/>
      <c r="AC7" s="3430"/>
    </row>
    <row r="8" spans="1:30" ht="21" thickBot="1">
      <c r="A8" s="514"/>
      <c r="B8" s="515"/>
      <c r="C8" s="3450" t="s">
        <v>2932</v>
      </c>
      <c r="D8" s="3451"/>
      <c r="E8" s="3450" t="s">
        <v>2932</v>
      </c>
      <c r="F8" s="3451"/>
      <c r="G8" s="3446" t="s">
        <v>2932</v>
      </c>
      <c r="H8" s="3447"/>
      <c r="I8" s="3446" t="s">
        <v>2932</v>
      </c>
      <c r="J8" s="3447"/>
      <c r="K8" s="513" t="s">
        <v>524</v>
      </c>
      <c r="L8" s="2131"/>
      <c r="M8" s="2130"/>
      <c r="N8" s="2130"/>
      <c r="O8" s="2132"/>
      <c r="P8" s="3438"/>
      <c r="Q8" s="3439"/>
      <c r="R8" s="3442"/>
      <c r="S8" s="3443"/>
      <c r="T8" s="3444"/>
      <c r="U8" s="3445"/>
      <c r="V8" s="3427"/>
      <c r="W8" s="3427"/>
      <c r="X8" s="1564"/>
      <c r="Y8" s="3444"/>
      <c r="Z8" s="3445"/>
      <c r="AA8" s="3431"/>
      <c r="AB8" s="3431"/>
      <c r="AC8" s="3431"/>
    </row>
    <row r="9" spans="1:30" s="1219" customFormat="1" ht="21" thickBot="1">
      <c r="A9" s="2934"/>
      <c r="B9" s="2941" t="s">
        <v>525</v>
      </c>
      <c r="C9" s="2933">
        <f>'数据-取费表'!B2</f>
        <v>43234</v>
      </c>
      <c r="D9" s="519">
        <v>100</v>
      </c>
      <c r="E9" s="520" t="str">
        <f>面积表!P2</f>
        <v>2017-12-07</v>
      </c>
      <c r="F9" s="521">
        <f>SUMIF(72:72,YEAR(E9)&amp;"-"&amp;INT((MONTH(E9)+2)/3),73:73)</f>
        <v>99.5</v>
      </c>
      <c r="G9" s="522" t="str">
        <f>面积表!P3</f>
        <v>2015-07-16</v>
      </c>
      <c r="H9" s="519">
        <f>SUMIF(72:72,YEAR(G9)&amp;"-"&amp;INT((MONTH(G9)+2)/3),73:73)</f>
        <v>97.25</v>
      </c>
      <c r="I9" s="522" t="str">
        <f>面积表!P4</f>
        <v>2015-11-24</v>
      </c>
      <c r="J9" s="519">
        <f>SUMIF(72:72,YEAR(I9)&amp;"-"&amp;INT((MONTH(I9)+2)/3),73:73)</f>
        <v>97.5</v>
      </c>
      <c r="K9" s="523"/>
      <c r="L9" s="2133"/>
      <c r="M9" s="2130"/>
      <c r="N9" s="2130"/>
      <c r="O9" s="2134"/>
      <c r="P9" s="3457" t="s">
        <v>526</v>
      </c>
      <c r="Q9" s="3459"/>
      <c r="R9" s="1565" t="s">
        <v>8</v>
      </c>
      <c r="S9" s="1566">
        <f t="shared" ref="S9:S17" si="0">F9</f>
        <v>99.5</v>
      </c>
      <c r="T9" s="1565" t="s">
        <v>8</v>
      </c>
      <c r="U9" s="1566">
        <f t="shared" ref="U9:U17" si="1">H9</f>
        <v>97.25</v>
      </c>
      <c r="V9" s="1565" t="s">
        <v>8</v>
      </c>
      <c r="W9" s="1566">
        <f t="shared" ref="W9:W17" si="2">J9</f>
        <v>97.5</v>
      </c>
      <c r="X9" s="1567"/>
      <c r="Y9" s="3457" t="s">
        <v>526</v>
      </c>
      <c r="Z9" s="3458"/>
      <c r="AA9" s="1568">
        <f>D9/F9</f>
        <v>1.0050251256281406</v>
      </c>
      <c r="AB9" s="1568">
        <f>D9/H9</f>
        <v>1.0282776349614395</v>
      </c>
      <c r="AC9" s="1568">
        <f>D9/J9</f>
        <v>1.0256410256410255</v>
      </c>
    </row>
    <row r="10" spans="1:30" s="1219" customFormat="1" ht="21" thickBot="1">
      <c r="A10" s="2935"/>
      <c r="B10" s="2942"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3"/>
      <c r="M10" s="2130"/>
      <c r="N10" s="2130"/>
      <c r="O10" s="2134"/>
      <c r="P10" s="3457" t="s">
        <v>529</v>
      </c>
      <c r="Q10" s="3458"/>
      <c r="R10" s="1565" t="s">
        <v>8</v>
      </c>
      <c r="S10" s="1566">
        <f t="shared" si="0"/>
        <v>100</v>
      </c>
      <c r="T10" s="1565" t="s">
        <v>8</v>
      </c>
      <c r="U10" s="1566">
        <f t="shared" si="1"/>
        <v>100</v>
      </c>
      <c r="V10" s="1565" t="s">
        <v>8</v>
      </c>
      <c r="W10" s="1566">
        <f t="shared" si="2"/>
        <v>100</v>
      </c>
      <c r="X10" s="1567"/>
      <c r="Y10" s="3457" t="s">
        <v>529</v>
      </c>
      <c r="Z10" s="3458"/>
      <c r="AA10" s="1568">
        <f t="shared" ref="AA10:AA47" si="3">D10/F10</f>
        <v>1</v>
      </c>
      <c r="AB10" s="1568">
        <f t="shared" ref="AB10:AB47" si="4">D10/H10</f>
        <v>1</v>
      </c>
      <c r="AC10" s="1568">
        <f t="shared" ref="AC10:AC47" si="5">D10/J10</f>
        <v>1</v>
      </c>
    </row>
    <row r="11" spans="1:30" s="1219" customFormat="1" ht="26.25" customHeight="1">
      <c r="A11" s="2936"/>
      <c r="B11" s="2943" t="s">
        <v>2756</v>
      </c>
      <c r="C11" s="2930" t="s">
        <v>3142</v>
      </c>
      <c r="D11" s="253">
        <v>100</v>
      </c>
      <c r="E11" s="2930" t="s">
        <v>3142</v>
      </c>
      <c r="F11" s="253">
        <f>SUMIF(77:77,E11,78:78)-SUMIF(77:77,C11,78:78)+100</f>
        <v>100</v>
      </c>
      <c r="G11" s="2930" t="s">
        <v>3142</v>
      </c>
      <c r="H11" s="253">
        <f>SUMIF(77:77,G11,78:78)-SUMIF(77:77,C11,78:78)+100</f>
        <v>100</v>
      </c>
      <c r="I11" s="2930" t="s">
        <v>3142</v>
      </c>
      <c r="J11" s="253">
        <f>SUMIF(77:77,I11,78:78)-SUMIF(77:77,C11,78:78)+100</f>
        <v>100</v>
      </c>
      <c r="K11" s="523"/>
      <c r="L11" s="2133"/>
      <c r="M11" s="2130"/>
      <c r="N11" s="2130"/>
      <c r="O11" s="2135"/>
      <c r="P11" s="3426" t="s">
        <v>531</v>
      </c>
      <c r="Q11" s="1150" t="str">
        <f t="shared" ref="Q11:Q17" si="6">B11</f>
        <v>用途</v>
      </c>
      <c r="R11" s="1565" t="s">
        <v>8</v>
      </c>
      <c r="S11" s="1566">
        <f t="shared" si="0"/>
        <v>100</v>
      </c>
      <c r="T11" s="1565" t="s">
        <v>8</v>
      </c>
      <c r="U11" s="1566">
        <f t="shared" si="1"/>
        <v>100</v>
      </c>
      <c r="V11" s="1565" t="s">
        <v>8</v>
      </c>
      <c r="W11" s="1566">
        <f t="shared" si="2"/>
        <v>100</v>
      </c>
      <c r="X11" s="1567"/>
      <c r="Y11" s="3372" t="s">
        <v>532</v>
      </c>
      <c r="Z11" s="1149" t="str">
        <f t="shared" ref="Z11:Z17" si="7">Q11</f>
        <v>用途</v>
      </c>
      <c r="AA11" s="1568">
        <f t="shared" si="3"/>
        <v>1</v>
      </c>
      <c r="AB11" s="1568">
        <f t="shared" si="4"/>
        <v>1</v>
      </c>
      <c r="AC11" s="1568">
        <f t="shared" si="5"/>
        <v>1</v>
      </c>
    </row>
    <row r="12" spans="1:30" s="1337" customFormat="1" ht="27">
      <c r="A12" s="2937"/>
      <c r="B12" s="2942" t="s">
        <v>2757</v>
      </c>
      <c r="C12" s="909"/>
      <c r="D12" s="254">
        <v>100</v>
      </c>
      <c r="E12" s="528"/>
      <c r="F12" s="254">
        <f>ROUND(100/'数据-取费表'!G16,0)</f>
        <v>100</v>
      </c>
      <c r="G12" s="529"/>
      <c r="H12" s="254">
        <f>ROUND(100/'数据-取费表'!G16,0)</f>
        <v>100</v>
      </c>
      <c r="I12" s="529"/>
      <c r="J12" s="254">
        <f>ROUND(100/'数据-取费表'!G16,0)</f>
        <v>100</v>
      </c>
      <c r="K12" s="530"/>
      <c r="L12" s="2136"/>
      <c r="M12" s="2130"/>
      <c r="N12" s="2130"/>
      <c r="O12" s="2137"/>
      <c r="P12" s="3426"/>
      <c r="Q12" s="1150" t="str">
        <f t="shared" si="6"/>
        <v>土地使用年限（年）</v>
      </c>
      <c r="R12" s="1565" t="s">
        <v>8</v>
      </c>
      <c r="S12" s="1566">
        <f t="shared" si="0"/>
        <v>100</v>
      </c>
      <c r="T12" s="1565" t="s">
        <v>8</v>
      </c>
      <c r="U12" s="1566">
        <f t="shared" si="1"/>
        <v>100</v>
      </c>
      <c r="V12" s="1565" t="s">
        <v>8</v>
      </c>
      <c r="W12" s="1566">
        <f t="shared" si="2"/>
        <v>100</v>
      </c>
      <c r="X12" s="1567"/>
      <c r="Y12" s="3372"/>
      <c r="Z12" s="1149" t="str">
        <f t="shared" si="7"/>
        <v>土地使用年限（年）</v>
      </c>
      <c r="AA12" s="1568">
        <f t="shared" si="3"/>
        <v>1</v>
      </c>
      <c r="AB12" s="1568">
        <f t="shared" si="4"/>
        <v>1</v>
      </c>
      <c r="AC12" s="1568">
        <f t="shared" si="5"/>
        <v>1</v>
      </c>
    </row>
    <row r="13" spans="1:30" ht="20.25">
      <c r="A13" s="2938"/>
      <c r="B13" s="2942" t="s">
        <v>2758</v>
      </c>
      <c r="C13" s="533">
        <f>'数据-汇总表'!I4</f>
        <v>1.5</v>
      </c>
      <c r="D13" s="254">
        <v>100</v>
      </c>
      <c r="E13" s="532">
        <f>面积表!H2</f>
        <v>2.0499999999999998</v>
      </c>
      <c r="F13" s="254">
        <f>LOOKUP(E13,82:82,83:83)-LOOKUP(C13,82:82,83:83)+100</f>
        <v>99</v>
      </c>
      <c r="G13" s="533">
        <f>面积表!H3</f>
        <v>2</v>
      </c>
      <c r="H13" s="254">
        <f>LOOKUP(G13,82:82,83:83)-LOOKUP(C13,82:82,83:83)+100</f>
        <v>99</v>
      </c>
      <c r="I13" s="532">
        <f>面积表!H4</f>
        <v>1.65</v>
      </c>
      <c r="J13" s="254">
        <f>LOOKUP(I13,82:82,83:83)-LOOKUP(C13,82:82,83:83)+100</f>
        <v>100</v>
      </c>
      <c r="K13" s="534">
        <v>1</v>
      </c>
      <c r="L13" s="2138"/>
      <c r="M13" s="2130"/>
      <c r="N13" s="2130"/>
      <c r="O13" s="2139"/>
      <c r="P13" s="3426"/>
      <c r="Q13" s="1150" t="str">
        <f t="shared" si="6"/>
        <v>容积率</v>
      </c>
      <c r="R13" s="1565" t="s">
        <v>8</v>
      </c>
      <c r="S13" s="1566">
        <f t="shared" si="0"/>
        <v>99</v>
      </c>
      <c r="T13" s="1565" t="s">
        <v>8</v>
      </c>
      <c r="U13" s="1566">
        <f t="shared" si="1"/>
        <v>99</v>
      </c>
      <c r="V13" s="1565" t="s">
        <v>8</v>
      </c>
      <c r="W13" s="1566">
        <f t="shared" si="2"/>
        <v>100</v>
      </c>
      <c r="X13" s="1567"/>
      <c r="Y13" s="3372"/>
      <c r="Z13" s="1149" t="str">
        <f t="shared" si="7"/>
        <v>容积率</v>
      </c>
      <c r="AA13" s="1568">
        <f t="shared" si="3"/>
        <v>1.0101010101010102</v>
      </c>
      <c r="AB13" s="1568">
        <f t="shared" si="4"/>
        <v>1.0101010101010102</v>
      </c>
      <c r="AC13" s="1568">
        <f t="shared" si="5"/>
        <v>1</v>
      </c>
    </row>
    <row r="14" spans="1:30" s="1219" customFormat="1" ht="27">
      <c r="A14" s="2935"/>
      <c r="B14" s="2944" t="s">
        <v>2759</v>
      </c>
      <c r="C14" s="2931" t="s">
        <v>3159</v>
      </c>
      <c r="D14" s="537">
        <v>100</v>
      </c>
      <c r="E14" s="1373" t="s">
        <v>3145</v>
      </c>
      <c r="F14" s="254">
        <f>SUMIF(84:84,E14,85:85)-SUMIF(84:84,C14,85:85)+100</f>
        <v>92</v>
      </c>
      <c r="G14" s="3223" t="s">
        <v>3146</v>
      </c>
      <c r="H14" s="254">
        <f>SUMIF(84:84,G14,85:85)-SUMIF(84:84,C14,85:85)+100</f>
        <v>96</v>
      </c>
      <c r="I14" s="3223" t="s">
        <v>3146</v>
      </c>
      <c r="J14" s="254">
        <f>SUMIF(84:84,I14,85:85)-SUMIF(84:84,C14,85:85)+100</f>
        <v>96</v>
      </c>
      <c r="K14" s="530"/>
      <c r="L14" s="2133"/>
      <c r="M14" s="2130"/>
      <c r="N14" s="2130"/>
      <c r="O14" s="2135"/>
      <c r="P14" s="3426"/>
      <c r="Q14" s="1150" t="str">
        <f t="shared" si="6"/>
        <v>配建</v>
      </c>
      <c r="R14" s="1565" t="s">
        <v>8</v>
      </c>
      <c r="S14" s="1566">
        <f t="shared" si="0"/>
        <v>92</v>
      </c>
      <c r="T14" s="1565" t="s">
        <v>8</v>
      </c>
      <c r="U14" s="1566">
        <f t="shared" si="1"/>
        <v>96</v>
      </c>
      <c r="V14" s="1565" t="s">
        <v>8</v>
      </c>
      <c r="W14" s="1566">
        <f t="shared" si="2"/>
        <v>96</v>
      </c>
      <c r="X14" s="1567"/>
      <c r="Y14" s="3372"/>
      <c r="Z14" s="1149" t="str">
        <f t="shared" si="7"/>
        <v>配建</v>
      </c>
      <c r="AA14" s="1568">
        <f>D14/F14</f>
        <v>1.0869565217391304</v>
      </c>
      <c r="AB14" s="1568">
        <f>D14/H14</f>
        <v>1.0416666666666667</v>
      </c>
      <c r="AC14" s="1568">
        <f>D14/J14</f>
        <v>1.0416666666666667</v>
      </c>
    </row>
    <row r="15" spans="1:30" ht="18.75" customHeight="1">
      <c r="A15" s="2939"/>
      <c r="B15" s="3224" t="s">
        <v>3147</v>
      </c>
      <c r="C15" s="2931"/>
      <c r="D15" s="539">
        <v>100</v>
      </c>
      <c r="E15" s="3225"/>
      <c r="F15" s="254">
        <f>SUMIF(86:86,E15,87:87)-SUMIF(86:86,C15,87:87)+100</f>
        <v>100</v>
      </c>
      <c r="G15" s="3225"/>
      <c r="H15" s="539">
        <f>SUMIF(86:86,G15,87:87)-SUMIF(86:86,C15,87:87)+100</f>
        <v>100</v>
      </c>
      <c r="I15" s="3225"/>
      <c r="J15" s="539">
        <f>SUMIF(86:86,I15,87:87)-SUMIF(86:86,C15,87:87)+100</f>
        <v>100</v>
      </c>
      <c r="K15" s="530"/>
      <c r="L15" s="2140"/>
      <c r="M15" s="2130"/>
      <c r="N15" s="2130"/>
      <c r="O15" s="2139"/>
      <c r="P15" s="3426"/>
      <c r="Q15" s="1150" t="str">
        <f t="shared" si="6"/>
        <v>特殊情况</v>
      </c>
      <c r="R15" s="1565" t="s">
        <v>8</v>
      </c>
      <c r="S15" s="1566">
        <f t="shared" si="0"/>
        <v>100</v>
      </c>
      <c r="T15" s="1565" t="s">
        <v>8</v>
      </c>
      <c r="U15" s="1566">
        <f t="shared" si="1"/>
        <v>100</v>
      </c>
      <c r="V15" s="1565" t="s">
        <v>8</v>
      </c>
      <c r="W15" s="1566">
        <f t="shared" si="2"/>
        <v>100</v>
      </c>
      <c r="X15" s="1567"/>
      <c r="Y15" s="3372"/>
      <c r="Z15" s="1149" t="str">
        <f t="shared" si="7"/>
        <v>特殊情况</v>
      </c>
      <c r="AA15" s="1568">
        <f>D15/F15</f>
        <v>1</v>
      </c>
      <c r="AB15" s="1568">
        <f>D15/H15</f>
        <v>1</v>
      </c>
      <c r="AC15" s="1568">
        <f>D15/J15</f>
        <v>1</v>
      </c>
    </row>
    <row r="16" spans="1:30" ht="21" thickBot="1">
      <c r="A16" s="2940"/>
      <c r="B16" s="2946"/>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426"/>
      <c r="Q16" s="1150">
        <f t="shared" si="6"/>
        <v>0</v>
      </c>
      <c r="R16" s="1565" t="s">
        <v>8</v>
      </c>
      <c r="S16" s="1566">
        <f t="shared" si="0"/>
        <v>100</v>
      </c>
      <c r="T16" s="1565" t="s">
        <v>8</v>
      </c>
      <c r="U16" s="1566">
        <f t="shared" si="1"/>
        <v>100</v>
      </c>
      <c r="V16" s="1565" t="s">
        <v>8</v>
      </c>
      <c r="W16" s="1566">
        <f t="shared" si="2"/>
        <v>100</v>
      </c>
      <c r="X16" s="1567"/>
      <c r="Y16" s="3372"/>
      <c r="Z16" s="1149">
        <f t="shared" si="7"/>
        <v>0</v>
      </c>
      <c r="AA16" s="1568">
        <f>D16/F16</f>
        <v>1</v>
      </c>
      <c r="AB16" s="1568">
        <f>D16/H16</f>
        <v>1</v>
      </c>
      <c r="AC16" s="1568">
        <f>D16/J16</f>
        <v>1</v>
      </c>
    </row>
    <row r="17" spans="1:29" ht="93" customHeight="1">
      <c r="A17" s="2932" t="s">
        <v>2754</v>
      </c>
      <c r="B17" s="577" t="s">
        <v>291</v>
      </c>
      <c r="C17" s="547" t="str">
        <f>估价对象房地状况!C15</f>
        <v>估价对象周边居住用地比例、居住小区规模和社区发展完善程度，周边有天恒摩墅等住宅项目，综合评价居住社区成熟度一般</v>
      </c>
      <c r="D17" s="550">
        <v>100</v>
      </c>
      <c r="E17" s="3227" t="s">
        <v>3151</v>
      </c>
      <c r="F17" s="548">
        <f>SUMIF(90:90,E18,91:91)-SUMIF(90:90,C18,91:91)+100</f>
        <v>98</v>
      </c>
      <c r="G17" s="3227" t="s">
        <v>3154</v>
      </c>
      <c r="H17" s="548">
        <f>SUMIF(90:90,G18,91:91)-SUMIF(90:90,C18,91:91)+100</f>
        <v>102</v>
      </c>
      <c r="I17" s="3227" t="s">
        <v>3152</v>
      </c>
      <c r="J17" s="548">
        <f>SUMIF(90:90,I18,91:91)-SUMIF(90:90,C18,91:91)+100</f>
        <v>102</v>
      </c>
      <c r="K17" s="534">
        <v>2</v>
      </c>
      <c r="L17" s="2140"/>
      <c r="M17" s="2130"/>
      <c r="N17" s="2130"/>
      <c r="O17" s="2139"/>
      <c r="P17" s="3460" t="s">
        <v>536</v>
      </c>
      <c r="Q17" s="1569" t="str">
        <f t="shared" si="6"/>
        <v>居住社区成熟度</v>
      </c>
      <c r="R17" s="1570" t="s">
        <v>8</v>
      </c>
      <c r="S17" s="1571">
        <f t="shared" si="0"/>
        <v>98</v>
      </c>
      <c r="T17" s="1570" t="s">
        <v>8</v>
      </c>
      <c r="U17" s="1571">
        <f t="shared" si="1"/>
        <v>102</v>
      </c>
      <c r="V17" s="1570" t="s">
        <v>8</v>
      </c>
      <c r="W17" s="1571">
        <f t="shared" si="2"/>
        <v>102</v>
      </c>
      <c r="X17" s="1564"/>
      <c r="Y17" s="3460" t="s">
        <v>536</v>
      </c>
      <c r="Z17" s="1572" t="str">
        <f t="shared" si="7"/>
        <v>居住社区成熟度</v>
      </c>
      <c r="AA17" s="1573">
        <f t="shared" si="3"/>
        <v>1.0204081632653061</v>
      </c>
      <c r="AB17" s="1573">
        <f t="shared" si="4"/>
        <v>0.98039215686274506</v>
      </c>
      <c r="AC17" s="1573">
        <f t="shared" si="5"/>
        <v>0.98039215686274506</v>
      </c>
    </row>
    <row r="18" spans="1:29" ht="20.25">
      <c r="A18" s="531"/>
      <c r="B18" s="552"/>
      <c r="C18" s="553" t="s">
        <v>3149</v>
      </c>
      <c r="D18" s="556"/>
      <c r="E18" s="557" t="s">
        <v>3150</v>
      </c>
      <c r="F18" s="554"/>
      <c r="G18" s="555" t="s">
        <v>3153</v>
      </c>
      <c r="H18" s="558"/>
      <c r="I18" s="557" t="s">
        <v>3153</v>
      </c>
      <c r="J18" s="554"/>
      <c r="K18" s="530"/>
      <c r="L18" s="2140"/>
      <c r="M18" s="2130"/>
      <c r="N18" s="2130"/>
      <c r="O18" s="2139"/>
      <c r="P18" s="3461"/>
      <c r="Q18" s="1569"/>
      <c r="R18" s="1570"/>
      <c r="S18" s="1571"/>
      <c r="T18" s="1570"/>
      <c r="U18" s="1571"/>
      <c r="V18" s="1570"/>
      <c r="W18" s="1571"/>
      <c r="X18" s="1564"/>
      <c r="Y18" s="3461"/>
      <c r="Z18" s="1572"/>
      <c r="AA18" s="1573">
        <v>1</v>
      </c>
      <c r="AB18" s="1573">
        <v>1</v>
      </c>
      <c r="AC18" s="1573">
        <v>1</v>
      </c>
    </row>
    <row r="19" spans="1:29" ht="42.75">
      <c r="A19" s="531"/>
      <c r="B19" s="559" t="s">
        <v>537</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102.5</v>
      </c>
      <c r="I19" s="563"/>
      <c r="J19" s="564">
        <f>SUMIF(92:92,I20,93:93)-SUMIF(92:92,C20,93:93)+100</f>
        <v>105</v>
      </c>
      <c r="K19" s="534">
        <v>2.5</v>
      </c>
      <c r="L19" s="2140"/>
      <c r="M19" s="2130"/>
      <c r="N19" s="2130"/>
      <c r="O19" s="2139"/>
      <c r="P19" s="3461"/>
      <c r="Q19" s="1569" t="str">
        <f>B19</f>
        <v>商业繁华度</v>
      </c>
      <c r="R19" s="1570" t="s">
        <v>8</v>
      </c>
      <c r="S19" s="1571">
        <f>F19</f>
        <v>100</v>
      </c>
      <c r="T19" s="1570" t="s">
        <v>8</v>
      </c>
      <c r="U19" s="1571">
        <f>H19</f>
        <v>102.5</v>
      </c>
      <c r="V19" s="1570" t="s">
        <v>8</v>
      </c>
      <c r="W19" s="1571">
        <f>J19</f>
        <v>105</v>
      </c>
      <c r="X19" s="1564"/>
      <c r="Y19" s="3461"/>
      <c r="Z19" s="1572" t="str">
        <f>Q19</f>
        <v>商业繁华度</v>
      </c>
      <c r="AA19" s="1573">
        <f t="shared" si="3"/>
        <v>1</v>
      </c>
      <c r="AB19" s="1573">
        <f t="shared" si="4"/>
        <v>0.97560975609756095</v>
      </c>
      <c r="AC19" s="1573">
        <f t="shared" si="5"/>
        <v>0.95238095238095233</v>
      </c>
    </row>
    <row r="20" spans="1:29" ht="20.25">
      <c r="A20" s="531"/>
      <c r="B20" s="565"/>
      <c r="C20" s="566" t="s">
        <v>3150</v>
      </c>
      <c r="D20" s="562"/>
      <c r="E20" s="568" t="s">
        <v>3150</v>
      </c>
      <c r="F20" s="558"/>
      <c r="G20" s="567" t="s">
        <v>3149</v>
      </c>
      <c r="H20" s="554"/>
      <c r="I20" s="568" t="s">
        <v>3153</v>
      </c>
      <c r="J20" s="554"/>
      <c r="K20" s="530"/>
      <c r="L20" s="2140"/>
      <c r="M20" s="2130"/>
      <c r="N20" s="2130"/>
      <c r="O20" s="2139"/>
      <c r="P20" s="3461"/>
      <c r="Q20" s="1569"/>
      <c r="R20" s="1570"/>
      <c r="S20" s="1571"/>
      <c r="T20" s="1570"/>
      <c r="U20" s="1571"/>
      <c r="V20" s="1570"/>
      <c r="W20" s="1571"/>
      <c r="X20" s="1564"/>
      <c r="Y20" s="3461"/>
      <c r="Z20" s="1572"/>
      <c r="AA20" s="1573">
        <v>1</v>
      </c>
      <c r="AB20" s="1573">
        <v>1</v>
      </c>
      <c r="AC20" s="1573">
        <v>1</v>
      </c>
    </row>
    <row r="21" spans="1:29" ht="51.75" customHeight="1">
      <c r="A21" s="531"/>
      <c r="B21" s="559" t="s">
        <v>538</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61"/>
      <c r="Q21" s="1569" t="str">
        <f>B21</f>
        <v>办公集聚程度</v>
      </c>
      <c r="R21" s="1570" t="s">
        <v>8</v>
      </c>
      <c r="S21" s="1571">
        <f>F21</f>
        <v>100</v>
      </c>
      <c r="T21" s="1570" t="s">
        <v>8</v>
      </c>
      <c r="U21" s="1571">
        <f>H21</f>
        <v>100</v>
      </c>
      <c r="V21" s="1570" t="s">
        <v>8</v>
      </c>
      <c r="W21" s="1571">
        <f>J21</f>
        <v>100</v>
      </c>
      <c r="X21" s="1564"/>
      <c r="Y21" s="3461"/>
      <c r="Z21" s="1572" t="str">
        <f>Q21</f>
        <v>办公集聚程度</v>
      </c>
      <c r="AA21" s="1573">
        <f t="shared" si="3"/>
        <v>1</v>
      </c>
      <c r="AB21" s="1573">
        <f t="shared" si="4"/>
        <v>1</v>
      </c>
      <c r="AC21" s="1573">
        <f t="shared" si="5"/>
        <v>1</v>
      </c>
    </row>
    <row r="22" spans="1:29" ht="20.25">
      <c r="A22" s="531"/>
      <c r="B22" s="565"/>
      <c r="C22" s="553"/>
      <c r="D22" s="556"/>
      <c r="E22" s="557"/>
      <c r="F22" s="554"/>
      <c r="G22" s="555"/>
      <c r="H22" s="554"/>
      <c r="I22" s="557"/>
      <c r="J22" s="554"/>
      <c r="K22" s="530"/>
      <c r="L22" s="2140"/>
      <c r="M22" s="2130"/>
      <c r="N22" s="2130"/>
      <c r="O22" s="2139"/>
      <c r="P22" s="3461"/>
      <c r="Q22" s="1569"/>
      <c r="R22" s="1570"/>
      <c r="S22" s="1571"/>
      <c r="T22" s="1570"/>
      <c r="U22" s="1571"/>
      <c r="V22" s="1570"/>
      <c r="W22" s="1571"/>
      <c r="X22" s="1564"/>
      <c r="Y22" s="3461"/>
      <c r="Z22" s="1572"/>
      <c r="AA22" s="1573">
        <v>1</v>
      </c>
      <c r="AB22" s="1573">
        <v>1</v>
      </c>
      <c r="AC22" s="1573">
        <v>1</v>
      </c>
    </row>
    <row r="23" spans="1:29" ht="85.5">
      <c r="A23" s="531"/>
      <c r="B23" s="559" t="s">
        <v>539</v>
      </c>
      <c r="C23" s="572" t="str">
        <f>估价对象房地状况!C18</f>
        <v>估价对象周边道路状况、公共交通通达情况：有836、917、房12等多路公交车，停车便捷程度，综合评价交通便捷度一般</v>
      </c>
      <c r="D23" s="562">
        <v>100</v>
      </c>
      <c r="E23" s="563"/>
      <c r="F23" s="564">
        <f>SUMIF(96:96,E24,97:97)-SUMIF(96:96,C24,97:97)+100</f>
        <v>98</v>
      </c>
      <c r="G23" s="3229" t="s">
        <v>3157</v>
      </c>
      <c r="H23" s="558">
        <f>SUMIF(96:96,G24,97:97)-SUMIF(96:96,C24,97:97)+100</f>
        <v>102</v>
      </c>
      <c r="I23" s="3229" t="s">
        <v>3157</v>
      </c>
      <c r="J23" s="558">
        <f>SUMIF(96:96,I24,97:97)-SUMIF(96:96,C24,97:97)+100</f>
        <v>102</v>
      </c>
      <c r="K23" s="534">
        <v>2</v>
      </c>
      <c r="L23" s="2140"/>
      <c r="M23" s="2130"/>
      <c r="N23" s="2130"/>
      <c r="O23" s="2139"/>
      <c r="P23" s="3461"/>
      <c r="Q23" s="1569" t="str">
        <f>B23</f>
        <v>交通便捷度</v>
      </c>
      <c r="R23" s="1570" t="s">
        <v>8</v>
      </c>
      <c r="S23" s="1571">
        <f>F23</f>
        <v>98</v>
      </c>
      <c r="T23" s="1570" t="s">
        <v>8</v>
      </c>
      <c r="U23" s="1571">
        <f>H23</f>
        <v>102</v>
      </c>
      <c r="V23" s="1570" t="s">
        <v>8</v>
      </c>
      <c r="W23" s="1571">
        <f>J23</f>
        <v>102</v>
      </c>
      <c r="X23" s="1564"/>
      <c r="Y23" s="3461"/>
      <c r="Z23" s="1572" t="str">
        <f>Q23</f>
        <v>交通便捷度</v>
      </c>
      <c r="AA23" s="1573">
        <f t="shared" si="3"/>
        <v>1.0204081632653061</v>
      </c>
      <c r="AB23" s="1573">
        <f t="shared" si="4"/>
        <v>0.98039215686274506</v>
      </c>
      <c r="AC23" s="1573">
        <f t="shared" si="5"/>
        <v>0.98039215686274506</v>
      </c>
    </row>
    <row r="24" spans="1:29" ht="20.25">
      <c r="A24" s="531"/>
      <c r="B24" s="577"/>
      <c r="C24" s="553" t="s">
        <v>3149</v>
      </c>
      <c r="D24" s="556"/>
      <c r="E24" s="557" t="s">
        <v>3150</v>
      </c>
      <c r="F24" s="554"/>
      <c r="G24" s="555" t="s">
        <v>3153</v>
      </c>
      <c r="H24" s="554"/>
      <c r="I24" s="557" t="s">
        <v>3153</v>
      </c>
      <c r="J24" s="554"/>
      <c r="K24" s="530"/>
      <c r="L24" s="2140"/>
      <c r="M24" s="2130"/>
      <c r="N24" s="2130"/>
      <c r="O24" s="2139"/>
      <c r="P24" s="3461"/>
      <c r="Q24" s="1569"/>
      <c r="R24" s="1570"/>
      <c r="S24" s="1571"/>
      <c r="T24" s="1570"/>
      <c r="U24" s="1571"/>
      <c r="V24" s="1570"/>
      <c r="W24" s="1571"/>
      <c r="X24" s="1564"/>
      <c r="Y24" s="3461"/>
      <c r="Z24" s="1572"/>
      <c r="AA24" s="1573">
        <v>1</v>
      </c>
      <c r="AB24" s="1573">
        <v>1</v>
      </c>
      <c r="AC24" s="1573">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61"/>
      <c r="Q25" s="1569" t="str">
        <f t="shared" ref="Q25:Q39" si="8">B25</f>
        <v>区域土地利用方向</v>
      </c>
      <c r="R25" s="1570" t="s">
        <v>8</v>
      </c>
      <c r="S25" s="1571">
        <f>F25</f>
        <v>100</v>
      </c>
      <c r="T25" s="1570" t="s">
        <v>8</v>
      </c>
      <c r="U25" s="1571">
        <f>H25</f>
        <v>100</v>
      </c>
      <c r="V25" s="1570" t="s">
        <v>8</v>
      </c>
      <c r="W25" s="1571">
        <f>J25</f>
        <v>100</v>
      </c>
      <c r="X25" s="1564"/>
      <c r="Y25" s="3461"/>
      <c r="Z25" s="1572" t="str">
        <f>Q25</f>
        <v>区域土地利用方向</v>
      </c>
      <c r="AA25" s="1573">
        <f t="shared" si="3"/>
        <v>1</v>
      </c>
      <c r="AB25" s="1573">
        <f t="shared" si="4"/>
        <v>1</v>
      </c>
      <c r="AC25" s="1573">
        <f t="shared" si="5"/>
        <v>1</v>
      </c>
    </row>
    <row r="26" spans="1:29" ht="20.25">
      <c r="A26" s="514"/>
      <c r="B26" s="1006"/>
      <c r="C26" s="553" t="s">
        <v>3153</v>
      </c>
      <c r="D26" s="556"/>
      <c r="E26" s="553" t="s">
        <v>3153</v>
      </c>
      <c r="F26" s="554"/>
      <c r="G26" s="553" t="s">
        <v>3153</v>
      </c>
      <c r="H26" s="554"/>
      <c r="I26" s="553" t="s">
        <v>3153</v>
      </c>
      <c r="J26" s="554"/>
      <c r="K26" s="530"/>
      <c r="L26" s="2140"/>
      <c r="M26" s="2130"/>
      <c r="N26" s="2130"/>
      <c r="O26" s="2139"/>
      <c r="P26" s="3461"/>
      <c r="Q26" s="1569"/>
      <c r="R26" s="1570"/>
      <c r="S26" s="1571"/>
      <c r="T26" s="1570"/>
      <c r="U26" s="1571"/>
      <c r="V26" s="1570"/>
      <c r="W26" s="1571"/>
      <c r="X26" s="1564"/>
      <c r="Y26" s="3461"/>
      <c r="Z26" s="1572"/>
      <c r="AA26" s="1573"/>
      <c r="AB26" s="1573"/>
      <c r="AC26" s="1573"/>
    </row>
    <row r="27" spans="1:29" ht="79.5" customHeight="1">
      <c r="A27" s="514"/>
      <c r="B27" s="577" t="s">
        <v>541</v>
      </c>
      <c r="C27" s="560" t="str">
        <f>估价对象房地状况!C20</f>
        <v>周边2公里区域自然环境：牛口峪公园、周口店人民公园；人文环境：北京猿人遗址；综合评价环境状况较好</v>
      </c>
      <c r="D27" s="562">
        <v>100</v>
      </c>
      <c r="E27" s="3232" t="s">
        <v>3159</v>
      </c>
      <c r="F27" s="558">
        <f>SUMIF(100:100,E28,101:101)-SUMIF(100:100,C28,101:101)+100</f>
        <v>98</v>
      </c>
      <c r="G27" s="3232" t="s">
        <v>3162</v>
      </c>
      <c r="H27" s="558">
        <f>SUMIF(100:100,G28,101:101)-SUMIF(100:100,C28,101:101)+100</f>
        <v>98</v>
      </c>
      <c r="I27" s="3232" t="s">
        <v>3161</v>
      </c>
      <c r="J27" s="558">
        <f>SUMIF(100:100,I28,101:101)-SUMIF(100:100,C28,101:101)+100</f>
        <v>98</v>
      </c>
      <c r="K27" s="534">
        <v>2</v>
      </c>
      <c r="L27" s="2140"/>
      <c r="M27" s="2130"/>
      <c r="N27" s="2130"/>
      <c r="O27" s="2139"/>
      <c r="P27" s="3461"/>
      <c r="Q27" s="1569" t="str">
        <f t="shared" si="8"/>
        <v>自然及人文环境状况</v>
      </c>
      <c r="R27" s="1570" t="s">
        <v>8</v>
      </c>
      <c r="S27" s="1571">
        <f>F27</f>
        <v>98</v>
      </c>
      <c r="T27" s="1570" t="s">
        <v>8</v>
      </c>
      <c r="U27" s="1571">
        <f>H27</f>
        <v>98</v>
      </c>
      <c r="V27" s="1570" t="s">
        <v>8</v>
      </c>
      <c r="W27" s="1571">
        <f>J27</f>
        <v>98</v>
      </c>
      <c r="X27" s="1564"/>
      <c r="Y27" s="3461"/>
      <c r="Z27" s="1572" t="str">
        <f>Q27</f>
        <v>自然及人文环境状况</v>
      </c>
      <c r="AA27" s="1573">
        <f t="shared" si="3"/>
        <v>1.0204081632653061</v>
      </c>
      <c r="AB27" s="1573">
        <f t="shared" si="4"/>
        <v>1.0204081632653061</v>
      </c>
      <c r="AC27" s="1573">
        <f t="shared" si="5"/>
        <v>1.0204081632653061</v>
      </c>
    </row>
    <row r="28" spans="1:29" ht="20.25">
      <c r="A28" s="514"/>
      <c r="B28" s="565"/>
      <c r="C28" s="553" t="s">
        <v>3153</v>
      </c>
      <c r="D28" s="556"/>
      <c r="E28" s="575" t="s">
        <v>3149</v>
      </c>
      <c r="F28" s="554"/>
      <c r="G28" s="553" t="s">
        <v>3149</v>
      </c>
      <c r="H28" s="554"/>
      <c r="I28" s="575" t="s">
        <v>3149</v>
      </c>
      <c r="J28" s="554"/>
      <c r="K28" s="530"/>
      <c r="L28" s="2140"/>
      <c r="M28" s="2130"/>
      <c r="N28" s="2130"/>
      <c r="O28" s="2139"/>
      <c r="P28" s="3461"/>
      <c r="Q28" s="1569"/>
      <c r="R28" s="1570"/>
      <c r="S28" s="1571"/>
      <c r="T28" s="1570"/>
      <c r="U28" s="1571"/>
      <c r="V28" s="1570"/>
      <c r="W28" s="1571"/>
      <c r="X28" s="1564"/>
      <c r="Y28" s="3461"/>
      <c r="Z28" s="1572"/>
      <c r="AA28" s="1573">
        <v>1</v>
      </c>
      <c r="AB28" s="1573">
        <v>1</v>
      </c>
      <c r="AC28" s="1573">
        <v>1</v>
      </c>
    </row>
    <row r="29" spans="1:29" s="1219" customFormat="1" ht="28.5">
      <c r="A29" s="576"/>
      <c r="B29" s="2613" t="s">
        <v>2548</v>
      </c>
      <c r="C29" s="572" t="str">
        <f>估价对象房地状况!C21</f>
        <v>估价对象所在区域公共配套设施齐备情况</v>
      </c>
      <c r="D29" s="562">
        <v>100</v>
      </c>
      <c r="E29" s="563"/>
      <c r="F29" s="558">
        <f>SUMIF(102:102,E30,103:103)-SUMIF(102:102,C30,103:103)+100</f>
        <v>99</v>
      </c>
      <c r="G29" s="561"/>
      <c r="H29" s="558">
        <f>SUMIF(102:102,G30,103:103)-SUMIF(102:102,C30,103:103)+100</f>
        <v>100</v>
      </c>
      <c r="I29" s="563"/>
      <c r="J29" s="558">
        <f>SUMIF(102:102,I30,103:103)-SUMIF(102:102,C30,103:103)+100</f>
        <v>101</v>
      </c>
      <c r="K29" s="534">
        <v>1</v>
      </c>
      <c r="L29" s="2133"/>
      <c r="M29" s="2130"/>
      <c r="N29" s="2130"/>
      <c r="O29" s="2135"/>
      <c r="P29" s="3461"/>
      <c r="Q29" s="1150" t="str">
        <f t="shared" si="8"/>
        <v>公共配套设施</v>
      </c>
      <c r="R29" s="1565" t="s">
        <v>8</v>
      </c>
      <c r="S29" s="1566">
        <f>F29</f>
        <v>99</v>
      </c>
      <c r="T29" s="1565" t="s">
        <v>8</v>
      </c>
      <c r="U29" s="1566">
        <f>H29</f>
        <v>100</v>
      </c>
      <c r="V29" s="1565" t="s">
        <v>8</v>
      </c>
      <c r="W29" s="1566">
        <f>J29</f>
        <v>101</v>
      </c>
      <c r="X29" s="1567"/>
      <c r="Y29" s="3461"/>
      <c r="Z29" s="1149" t="str">
        <f>Q29</f>
        <v>公共配套设施</v>
      </c>
      <c r="AA29" s="1573">
        <f>D29/F29</f>
        <v>1.0101010101010102</v>
      </c>
      <c r="AB29" s="1573">
        <f>D29/H29</f>
        <v>1</v>
      </c>
      <c r="AC29" s="1573">
        <f>D29/J29</f>
        <v>0.99009900990099009</v>
      </c>
    </row>
    <row r="30" spans="1:29" s="1219" customFormat="1" ht="20.25">
      <c r="A30" s="576"/>
      <c r="B30" s="565"/>
      <c r="C30" s="578" t="s">
        <v>3149</v>
      </c>
      <c r="D30" s="556"/>
      <c r="E30" s="575" t="s">
        <v>3150</v>
      </c>
      <c r="F30" s="554"/>
      <c r="G30" s="553" t="s">
        <v>3149</v>
      </c>
      <c r="H30" s="554"/>
      <c r="I30" s="575" t="s">
        <v>3153</v>
      </c>
      <c r="J30" s="554"/>
      <c r="K30" s="530"/>
      <c r="L30" s="2133"/>
      <c r="M30" s="2130"/>
      <c r="N30" s="2130"/>
      <c r="O30" s="2135"/>
      <c r="P30" s="3461"/>
      <c r="Q30" s="1150"/>
      <c r="R30" s="1565"/>
      <c r="S30" s="1566"/>
      <c r="T30" s="1565"/>
      <c r="U30" s="1566"/>
      <c r="V30" s="1565"/>
      <c r="W30" s="1566"/>
      <c r="X30" s="1567"/>
      <c r="Y30" s="3461"/>
      <c r="Z30" s="1149"/>
      <c r="AA30" s="1573">
        <v>1</v>
      </c>
      <c r="AB30" s="1573">
        <v>1</v>
      </c>
      <c r="AC30" s="1573">
        <v>1</v>
      </c>
    </row>
    <row r="31" spans="1:29" s="1219" customFormat="1" ht="28.5">
      <c r="A31" s="576"/>
      <c r="B31" s="2613" t="s">
        <v>2549</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3"/>
      <c r="M31" s="2130"/>
      <c r="N31" s="2130"/>
      <c r="O31" s="2135"/>
      <c r="P31" s="3461"/>
      <c r="Q31" s="2600" t="str">
        <f t="shared" ref="Q31" si="9">B31</f>
        <v>基础设施水平</v>
      </c>
      <c r="R31" s="1565" t="s">
        <v>8</v>
      </c>
      <c r="S31" s="1566">
        <f>F31</f>
        <v>100</v>
      </c>
      <c r="T31" s="1565" t="s">
        <v>8</v>
      </c>
      <c r="U31" s="1566">
        <f>H31</f>
        <v>100</v>
      </c>
      <c r="V31" s="1565" t="s">
        <v>8</v>
      </c>
      <c r="W31" s="1566">
        <f>J31</f>
        <v>100</v>
      </c>
      <c r="X31" s="1567"/>
      <c r="Y31" s="3461"/>
      <c r="Z31" s="2597" t="str">
        <f>Q31</f>
        <v>基础设施水平</v>
      </c>
      <c r="AA31" s="1573">
        <f>D31/F31</f>
        <v>1</v>
      </c>
      <c r="AB31" s="1573">
        <f>D31/H31</f>
        <v>1</v>
      </c>
      <c r="AC31" s="1573">
        <f>D31/J31</f>
        <v>1</v>
      </c>
    </row>
    <row r="32" spans="1:29" s="1219" customFormat="1" ht="20.25">
      <c r="A32" s="576"/>
      <c r="B32" s="565"/>
      <c r="C32" s="578" t="s">
        <v>3163</v>
      </c>
      <c r="D32" s="556"/>
      <c r="E32" s="578" t="s">
        <v>3163</v>
      </c>
      <c r="F32" s="554"/>
      <c r="G32" s="578" t="s">
        <v>3163</v>
      </c>
      <c r="H32" s="554"/>
      <c r="I32" s="578" t="s">
        <v>3163</v>
      </c>
      <c r="J32" s="554"/>
      <c r="K32" s="530"/>
      <c r="L32" s="2133"/>
      <c r="M32" s="2130"/>
      <c r="N32" s="2130"/>
      <c r="O32" s="2135"/>
      <c r="P32" s="3461"/>
      <c r="Q32" s="2600"/>
      <c r="R32" s="1565"/>
      <c r="S32" s="1566"/>
      <c r="T32" s="1565"/>
      <c r="U32" s="1566"/>
      <c r="V32" s="1565"/>
      <c r="W32" s="1566"/>
      <c r="X32" s="1567"/>
      <c r="Y32" s="3461"/>
      <c r="Z32" s="2597"/>
      <c r="AA32" s="1573">
        <v>1</v>
      </c>
      <c r="AB32" s="1573">
        <v>1</v>
      </c>
      <c r="AC32" s="1573">
        <v>1</v>
      </c>
    </row>
    <row r="33" spans="1:29" ht="20.25">
      <c r="A33" s="531"/>
      <c r="B33" s="565" t="s">
        <v>543</v>
      </c>
      <c r="C33" s="579" t="s">
        <v>3164</v>
      </c>
      <c r="D33" s="574">
        <v>100</v>
      </c>
      <c r="E33" s="582" t="s">
        <v>3166</v>
      </c>
      <c r="F33" s="539">
        <f>SUMIF(106:106,E33,107:107)-SUMIF(106:106,C33,107:107)+100</f>
        <v>104</v>
      </c>
      <c r="G33" s="579" t="s">
        <v>3166</v>
      </c>
      <c r="H33" s="539">
        <f>SUMIF(106:106,G33,107:107)-SUMIF(106:106,C33,107:107)+100</f>
        <v>104</v>
      </c>
      <c r="I33" s="579" t="s">
        <v>3165</v>
      </c>
      <c r="J33" s="539">
        <f>SUMIF(106:106,I33,107:107)-SUMIF(106:106,C33,107:107)+100</f>
        <v>102</v>
      </c>
      <c r="K33" s="534">
        <v>2</v>
      </c>
      <c r="L33" s="2140"/>
      <c r="M33" s="2130"/>
      <c r="N33" s="2130"/>
      <c r="O33" s="2139"/>
      <c r="P33" s="3461"/>
      <c r="Q33" s="1569" t="str">
        <f t="shared" si="8"/>
        <v>临街状况</v>
      </c>
      <c r="R33" s="1570" t="s">
        <v>8</v>
      </c>
      <c r="S33" s="1571">
        <f t="shared" ref="S33:S47" si="10">F33</f>
        <v>104</v>
      </c>
      <c r="T33" s="1570" t="s">
        <v>8</v>
      </c>
      <c r="U33" s="1571">
        <f t="shared" ref="U33:U47" si="11">H33</f>
        <v>104</v>
      </c>
      <c r="V33" s="1570" t="s">
        <v>8</v>
      </c>
      <c r="W33" s="1571">
        <f t="shared" ref="W33:W47" si="12">J33</f>
        <v>102</v>
      </c>
      <c r="X33" s="1564"/>
      <c r="Y33" s="3461"/>
      <c r="Z33" s="1572" t="str">
        <f t="shared" ref="Z33:Z47" si="13">Q33</f>
        <v>临街状况</v>
      </c>
      <c r="AA33" s="1573">
        <f t="shared" si="3"/>
        <v>0.96153846153846156</v>
      </c>
      <c r="AB33" s="1573">
        <f t="shared" si="4"/>
        <v>0.96153846153846156</v>
      </c>
      <c r="AC33" s="1573">
        <f t="shared" si="5"/>
        <v>0.98039215686274506</v>
      </c>
    </row>
    <row r="34" spans="1:29" ht="27">
      <c r="A34" s="531"/>
      <c r="B34" s="577" t="s">
        <v>544</v>
      </c>
      <c r="C34" s="3229" t="s">
        <v>3176</v>
      </c>
      <c r="D34" s="562">
        <v>100</v>
      </c>
      <c r="E34" s="3232" t="s">
        <v>3174</v>
      </c>
      <c r="F34" s="558">
        <f>SUMIF(108:108,E35,109:109)-SUMIF(108:108,C35,109:109)+100</f>
        <v>99</v>
      </c>
      <c r="G34" s="3229" t="s">
        <v>3175</v>
      </c>
      <c r="H34" s="558">
        <f>SUMIF(108:108,G35,109:109)-SUMIF(108:108,C35,109:109)+100</f>
        <v>99</v>
      </c>
      <c r="I34" s="3229" t="s">
        <v>3176</v>
      </c>
      <c r="J34" s="558">
        <f>SUMIF(108:108,I35,109:109)-SUMIF(108:108,C35,109:109)+100</f>
        <v>100</v>
      </c>
      <c r="K34" s="534">
        <v>1</v>
      </c>
      <c r="L34" s="2140"/>
      <c r="M34" s="2130"/>
      <c r="N34" s="2130"/>
      <c r="O34" s="2139"/>
      <c r="P34" s="3461"/>
      <c r="Q34" s="1569" t="str">
        <f t="shared" si="8"/>
        <v>毗邻道路的类型与等级</v>
      </c>
      <c r="R34" s="1570" t="s">
        <v>8</v>
      </c>
      <c r="S34" s="1571">
        <f t="shared" si="10"/>
        <v>99</v>
      </c>
      <c r="T34" s="1570" t="s">
        <v>8</v>
      </c>
      <c r="U34" s="1571">
        <f t="shared" si="11"/>
        <v>99</v>
      </c>
      <c r="V34" s="1570" t="s">
        <v>8</v>
      </c>
      <c r="W34" s="1571">
        <f t="shared" si="12"/>
        <v>100</v>
      </c>
      <c r="X34" s="1564"/>
      <c r="Y34" s="3461"/>
      <c r="Z34" s="1572" t="str">
        <f t="shared" si="13"/>
        <v>毗邻道路的类型与等级</v>
      </c>
      <c r="AA34" s="1573">
        <f t="shared" si="3"/>
        <v>1.0101010101010102</v>
      </c>
      <c r="AB34" s="1573">
        <f t="shared" si="4"/>
        <v>1.0101010101010102</v>
      </c>
      <c r="AC34" s="1573">
        <f t="shared" si="5"/>
        <v>1</v>
      </c>
    </row>
    <row r="35" spans="1:29" ht="20.25">
      <c r="A35" s="531"/>
      <c r="B35" s="565"/>
      <c r="C35" s="553" t="s">
        <v>3169</v>
      </c>
      <c r="D35" s="556"/>
      <c r="E35" s="575" t="s">
        <v>3171</v>
      </c>
      <c r="F35" s="554"/>
      <c r="G35" s="553" t="s">
        <v>3171</v>
      </c>
      <c r="H35" s="554"/>
      <c r="I35" s="575" t="s">
        <v>3169</v>
      </c>
      <c r="J35" s="554"/>
      <c r="K35" s="580"/>
      <c r="L35" s="2140"/>
      <c r="M35" s="2130"/>
      <c r="N35" s="2130"/>
      <c r="O35" s="2139"/>
      <c r="P35" s="3461"/>
      <c r="Q35" s="1569"/>
      <c r="R35" s="1570"/>
      <c r="S35" s="1571"/>
      <c r="T35" s="1570"/>
      <c r="U35" s="1571"/>
      <c r="V35" s="1570"/>
      <c r="W35" s="1571"/>
      <c r="X35" s="1564"/>
      <c r="Y35" s="3461"/>
      <c r="Z35" s="1572"/>
      <c r="AA35" s="1573">
        <v>1</v>
      </c>
      <c r="AB35" s="1573">
        <v>1</v>
      </c>
      <c r="AC35" s="1573">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61"/>
      <c r="Q36" s="1569" t="str">
        <f t="shared" si="8"/>
        <v>土地级别</v>
      </c>
      <c r="R36" s="1570" t="s">
        <v>8</v>
      </c>
      <c r="S36" s="1571">
        <f t="shared" si="10"/>
        <v>100</v>
      </c>
      <c r="T36" s="1570" t="s">
        <v>8</v>
      </c>
      <c r="U36" s="1571">
        <f t="shared" si="11"/>
        <v>100</v>
      </c>
      <c r="V36" s="1570" t="s">
        <v>8</v>
      </c>
      <c r="W36" s="1571">
        <f t="shared" si="12"/>
        <v>100</v>
      </c>
      <c r="X36" s="1564"/>
      <c r="Y36" s="3461"/>
      <c r="Z36" s="1572" t="str">
        <f t="shared" si="13"/>
        <v>土地级别</v>
      </c>
      <c r="AA36" s="1573">
        <f t="shared" si="3"/>
        <v>1</v>
      </c>
      <c r="AB36" s="1573">
        <f t="shared" si="4"/>
        <v>1</v>
      </c>
      <c r="AC36" s="1573">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61"/>
      <c r="Q37" s="1569">
        <f t="shared" si="8"/>
        <v>111</v>
      </c>
      <c r="R37" s="1570" t="s">
        <v>8</v>
      </c>
      <c r="S37" s="1571">
        <f t="shared" si="10"/>
        <v>100</v>
      </c>
      <c r="T37" s="1570" t="s">
        <v>8</v>
      </c>
      <c r="U37" s="1571">
        <f t="shared" si="11"/>
        <v>100</v>
      </c>
      <c r="V37" s="1570" t="s">
        <v>8</v>
      </c>
      <c r="W37" s="1571">
        <f t="shared" si="12"/>
        <v>100</v>
      </c>
      <c r="X37" s="1564"/>
      <c r="Y37" s="3461"/>
      <c r="Z37" s="1572">
        <f t="shared" si="13"/>
        <v>111</v>
      </c>
      <c r="AA37" s="1573">
        <f t="shared" si="3"/>
        <v>1</v>
      </c>
      <c r="AB37" s="1573">
        <f t="shared" si="4"/>
        <v>1</v>
      </c>
      <c r="AC37" s="1573">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62" t="s">
        <v>546</v>
      </c>
      <c r="Q38" s="1569">
        <f t="shared" si="8"/>
        <v>111</v>
      </c>
      <c r="R38" s="1570" t="s">
        <v>8</v>
      </c>
      <c r="S38" s="1571">
        <f t="shared" si="10"/>
        <v>100</v>
      </c>
      <c r="T38" s="1570" t="s">
        <v>8</v>
      </c>
      <c r="U38" s="1571">
        <f t="shared" si="11"/>
        <v>100</v>
      </c>
      <c r="V38" s="1570" t="s">
        <v>8</v>
      </c>
      <c r="W38" s="1571">
        <f t="shared" si="12"/>
        <v>100</v>
      </c>
      <c r="X38" s="1564"/>
      <c r="Y38" s="3463" t="s">
        <v>546</v>
      </c>
      <c r="Z38" s="1572">
        <f t="shared" si="13"/>
        <v>111</v>
      </c>
      <c r="AA38" s="1573">
        <f t="shared" si="3"/>
        <v>1</v>
      </c>
      <c r="AB38" s="1573">
        <f t="shared" si="4"/>
        <v>1</v>
      </c>
      <c r="AC38" s="1573">
        <f t="shared" si="5"/>
        <v>1</v>
      </c>
    </row>
    <row r="39" spans="1:29" s="1338"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63"/>
      <c r="Q39" s="1569">
        <f t="shared" si="8"/>
        <v>111</v>
      </c>
      <c r="R39" s="1574" t="s">
        <v>8</v>
      </c>
      <c r="S39" s="1575">
        <f t="shared" si="10"/>
        <v>100</v>
      </c>
      <c r="T39" s="1574" t="s">
        <v>8</v>
      </c>
      <c r="U39" s="1575">
        <f t="shared" si="11"/>
        <v>100</v>
      </c>
      <c r="V39" s="1574" t="s">
        <v>8</v>
      </c>
      <c r="W39" s="1575">
        <f t="shared" si="12"/>
        <v>100</v>
      </c>
      <c r="X39" s="1576"/>
      <c r="Y39" s="3463"/>
      <c r="Z39" s="1577">
        <f t="shared" si="13"/>
        <v>111</v>
      </c>
      <c r="AA39" s="1573">
        <f t="shared" si="3"/>
        <v>1</v>
      </c>
      <c r="AB39" s="1573">
        <f t="shared" si="4"/>
        <v>1</v>
      </c>
      <c r="AC39" s="1573">
        <f t="shared" si="5"/>
        <v>1</v>
      </c>
    </row>
    <row r="40" spans="1:29" ht="20.25">
      <c r="A40" s="2929" t="s">
        <v>2755</v>
      </c>
      <c r="B40" s="594" t="s">
        <v>548</v>
      </c>
      <c r="C40" s="3250">
        <f>'数据-基础表'!A3</f>
        <v>64892.61</v>
      </c>
      <c r="D40" s="3251">
        <v>100</v>
      </c>
      <c r="E40" s="3250">
        <f>面积表!F2</f>
        <v>59994</v>
      </c>
      <c r="F40" s="3251">
        <f>LOOKUP(E40,119:119,120:120)-LOOKUP(C40,119:119,120:120)+100</f>
        <v>102</v>
      </c>
      <c r="G40" s="3250">
        <f>面积表!F3</f>
        <v>112608</v>
      </c>
      <c r="H40" s="3251">
        <f>LOOKUP(G40,119:119,120:120)-LOOKUP(C40,119:119,120:120)+100</f>
        <v>98</v>
      </c>
      <c r="I40" s="3252">
        <f>面积表!F4</f>
        <v>116825</v>
      </c>
      <c r="J40" s="3251">
        <f>LOOKUP(I40,119:119,120:120)-LOOKUP(C40,119:119,120:120)+100</f>
        <v>98</v>
      </c>
      <c r="K40" s="580"/>
      <c r="L40" s="2140"/>
      <c r="M40" s="2130"/>
      <c r="N40" s="2130"/>
      <c r="O40" s="2139"/>
      <c r="P40" s="3463"/>
      <c r="Q40" s="1569" t="str">
        <f>B40</f>
        <v>宗地面积</v>
      </c>
      <c r="R40" s="1570" t="s">
        <v>8</v>
      </c>
      <c r="S40" s="1571">
        <f t="shared" si="10"/>
        <v>102</v>
      </c>
      <c r="T40" s="1570" t="s">
        <v>8</v>
      </c>
      <c r="U40" s="1571">
        <f t="shared" si="11"/>
        <v>98</v>
      </c>
      <c r="V40" s="1570" t="s">
        <v>8</v>
      </c>
      <c r="W40" s="1571">
        <f t="shared" si="12"/>
        <v>98</v>
      </c>
      <c r="X40" s="1564"/>
      <c r="Y40" s="3463"/>
      <c r="Z40" s="1572" t="str">
        <f t="shared" si="13"/>
        <v>宗地面积</v>
      </c>
      <c r="AA40" s="1573">
        <f t="shared" si="3"/>
        <v>0.98039215686274506</v>
      </c>
      <c r="AB40" s="1573">
        <f t="shared" si="4"/>
        <v>1.0204081632653061</v>
      </c>
      <c r="AC40" s="1573">
        <f t="shared" si="5"/>
        <v>1.0204081632653061</v>
      </c>
    </row>
    <row r="41" spans="1:29" ht="20.25">
      <c r="A41" s="593"/>
      <c r="B41" s="526" t="s">
        <v>549</v>
      </c>
      <c r="C41" s="598" t="s">
        <v>3179</v>
      </c>
      <c r="D41" s="539">
        <v>100</v>
      </c>
      <c r="E41" s="598" t="s">
        <v>3179</v>
      </c>
      <c r="F41" s="539">
        <f>SUMIF(121:121,E41,122:122)-SUMIF(121:121,C41,122:122)+100</f>
        <v>100</v>
      </c>
      <c r="G41" s="598" t="s">
        <v>3177</v>
      </c>
      <c r="H41" s="539">
        <f>SUMIF(121:121,G41,122:122)-SUMIF(121:121,C41,122:122)+100</f>
        <v>102</v>
      </c>
      <c r="I41" s="598" t="s">
        <v>3177</v>
      </c>
      <c r="J41" s="539">
        <f>SUMIF(121:121,I41,122:122)-SUMIF(121:121,C41,122:122)+100</f>
        <v>102</v>
      </c>
      <c r="K41" s="583">
        <v>2</v>
      </c>
      <c r="L41" s="2140"/>
      <c r="M41" s="2130"/>
      <c r="N41" s="2130"/>
      <c r="O41" s="2139"/>
      <c r="P41" s="3463"/>
      <c r="Q41" s="1569" t="str">
        <f t="shared" ref="Q41:Q47" si="14">B41</f>
        <v>宗地形状</v>
      </c>
      <c r="R41" s="1570" t="s">
        <v>8</v>
      </c>
      <c r="S41" s="1571">
        <f t="shared" si="10"/>
        <v>100</v>
      </c>
      <c r="T41" s="1570" t="s">
        <v>8</v>
      </c>
      <c r="U41" s="1571">
        <f t="shared" si="11"/>
        <v>102</v>
      </c>
      <c r="V41" s="1570" t="s">
        <v>8</v>
      </c>
      <c r="W41" s="1571">
        <f t="shared" si="12"/>
        <v>102</v>
      </c>
      <c r="X41" s="1564"/>
      <c r="Y41" s="3463"/>
      <c r="Z41" s="1572" t="str">
        <f t="shared" si="13"/>
        <v>宗地形状</v>
      </c>
      <c r="AA41" s="1573">
        <f t="shared" si="3"/>
        <v>1</v>
      </c>
      <c r="AB41" s="1573">
        <f t="shared" si="4"/>
        <v>0.98039215686274506</v>
      </c>
      <c r="AC41" s="1573">
        <f t="shared" si="5"/>
        <v>0.98039215686274506</v>
      </c>
    </row>
    <row r="42" spans="1:29" ht="20.25">
      <c r="A42" s="593"/>
      <c r="B42" s="526" t="s">
        <v>550</v>
      </c>
      <c r="C42" s="598" t="s">
        <v>3153</v>
      </c>
      <c r="D42" s="539">
        <v>100</v>
      </c>
      <c r="E42" s="598" t="s">
        <v>3153</v>
      </c>
      <c r="F42" s="539">
        <f>SUMIF(123:123,E42,124:124)-SUMIF(123:123,C42,124:124)+100</f>
        <v>100</v>
      </c>
      <c r="G42" s="598" t="s">
        <v>3153</v>
      </c>
      <c r="H42" s="539">
        <f>SUMIF(123:123,G42,124:124)-SUMIF(123:123,C42,124:124)+100</f>
        <v>100</v>
      </c>
      <c r="I42" s="598" t="s">
        <v>3153</v>
      </c>
      <c r="J42" s="539">
        <f>SUMIF(123:123,I42,124:124)-SUMIF(123:123,C42,124:124)+100</f>
        <v>100</v>
      </c>
      <c r="K42" s="583">
        <v>2</v>
      </c>
      <c r="L42" s="2140"/>
      <c r="M42" s="2130"/>
      <c r="N42" s="2130"/>
      <c r="O42" s="2139"/>
      <c r="P42" s="3463"/>
      <c r="Q42" s="1569" t="str">
        <f t="shared" si="14"/>
        <v>临街宽度及深度</v>
      </c>
      <c r="R42" s="1570" t="s">
        <v>8</v>
      </c>
      <c r="S42" s="1571">
        <f t="shared" si="10"/>
        <v>100</v>
      </c>
      <c r="T42" s="1570" t="s">
        <v>8</v>
      </c>
      <c r="U42" s="1571">
        <f t="shared" si="11"/>
        <v>100</v>
      </c>
      <c r="V42" s="1570" t="s">
        <v>8</v>
      </c>
      <c r="W42" s="1571">
        <f t="shared" si="12"/>
        <v>100</v>
      </c>
      <c r="X42" s="1564"/>
      <c r="Y42" s="3463"/>
      <c r="Z42" s="1572" t="str">
        <f t="shared" si="13"/>
        <v>临街宽度及深度</v>
      </c>
      <c r="AA42" s="1573">
        <f t="shared" si="3"/>
        <v>1</v>
      </c>
      <c r="AB42" s="1573">
        <f t="shared" si="4"/>
        <v>1</v>
      </c>
      <c r="AC42" s="1573">
        <f t="shared" si="5"/>
        <v>1</v>
      </c>
    </row>
    <row r="43" spans="1:29" s="1219" customFormat="1" ht="20.25">
      <c r="A43" s="599"/>
      <c r="B43" s="1893" t="s">
        <v>2424</v>
      </c>
      <c r="C43" s="600" t="s">
        <v>3186</v>
      </c>
      <c r="D43" s="254">
        <v>100</v>
      </c>
      <c r="E43" s="600" t="s">
        <v>3185</v>
      </c>
      <c r="F43" s="539">
        <f>SUMIF(125:125,E43,126:126)-SUMIF(125:125,C43,126:126)+100</f>
        <v>101.5</v>
      </c>
      <c r="G43" s="600" t="s">
        <v>3188</v>
      </c>
      <c r="H43" s="539">
        <f>SUMIF(125:125,G43,126:126)-SUMIF(125:125,C43,126:126)+100</f>
        <v>97</v>
      </c>
      <c r="I43" s="600" t="s">
        <v>3188</v>
      </c>
      <c r="J43" s="539">
        <f>SUMIF(125:125,I43,126:126)-SUMIF(125:125,C43,126:126)+100</f>
        <v>97</v>
      </c>
      <c r="K43" s="583">
        <v>1.5</v>
      </c>
      <c r="L43" s="2133"/>
      <c r="M43" s="2130"/>
      <c r="N43" s="2130"/>
      <c r="O43" s="2135"/>
      <c r="P43" s="3463"/>
      <c r="Q43" s="1569" t="str">
        <f t="shared" si="14"/>
        <v>宗地开发程度</v>
      </c>
      <c r="R43" s="1565" t="s">
        <v>8</v>
      </c>
      <c r="S43" s="1566">
        <f t="shared" si="10"/>
        <v>101.5</v>
      </c>
      <c r="T43" s="1565" t="s">
        <v>8</v>
      </c>
      <c r="U43" s="1566">
        <f t="shared" si="11"/>
        <v>97</v>
      </c>
      <c r="V43" s="1565" t="s">
        <v>8</v>
      </c>
      <c r="W43" s="1566">
        <f t="shared" si="12"/>
        <v>97</v>
      </c>
      <c r="X43" s="1567"/>
      <c r="Y43" s="3463"/>
      <c r="Z43" s="1149" t="str">
        <f t="shared" si="13"/>
        <v>宗地开发程度</v>
      </c>
      <c r="AA43" s="1568">
        <f t="shared" si="3"/>
        <v>0.98522167487684731</v>
      </c>
      <c r="AB43" s="1568">
        <f t="shared" si="4"/>
        <v>1.0309278350515463</v>
      </c>
      <c r="AC43" s="1568">
        <f t="shared" si="5"/>
        <v>1.0309278350515463</v>
      </c>
    </row>
    <row r="44" spans="1:29" ht="20.25">
      <c r="A44" s="593"/>
      <c r="B44" s="526" t="s">
        <v>551</v>
      </c>
      <c r="C44" s="598" t="s">
        <v>3153</v>
      </c>
      <c r="D44" s="539">
        <v>100</v>
      </c>
      <c r="E44" s="598" t="s">
        <v>3153</v>
      </c>
      <c r="F44" s="539">
        <f>SUMIF(127:127,E44,128:128)-SUMIF(127:127,C44,128:128)+100</f>
        <v>100</v>
      </c>
      <c r="G44" s="598" t="s">
        <v>3153</v>
      </c>
      <c r="H44" s="539">
        <f>SUMIF(127:127,G44,128:128)-SUMIF(127:127,C44,128:128)+100</f>
        <v>100</v>
      </c>
      <c r="I44" s="598" t="s">
        <v>3153</v>
      </c>
      <c r="J44" s="539">
        <f>SUMIF(127:127,I44,128:128)-SUMIF(127:127,C44,128:128)+100</f>
        <v>100</v>
      </c>
      <c r="K44" s="583">
        <v>2</v>
      </c>
      <c r="L44" s="2140"/>
      <c r="M44" s="2130"/>
      <c r="N44" s="2130"/>
      <c r="O44" s="2139"/>
      <c r="P44" s="3463" t="s">
        <v>546</v>
      </c>
      <c r="Q44" s="1569" t="str">
        <f t="shared" si="14"/>
        <v>工程地质条件</v>
      </c>
      <c r="R44" s="1570" t="s">
        <v>8</v>
      </c>
      <c r="S44" s="1571">
        <f t="shared" si="10"/>
        <v>100</v>
      </c>
      <c r="T44" s="1570" t="s">
        <v>8</v>
      </c>
      <c r="U44" s="1571">
        <f t="shared" si="11"/>
        <v>100</v>
      </c>
      <c r="V44" s="1570" t="s">
        <v>8</v>
      </c>
      <c r="W44" s="1571">
        <f t="shared" si="12"/>
        <v>100</v>
      </c>
      <c r="X44" s="1564"/>
      <c r="Y44" s="3463" t="s">
        <v>546</v>
      </c>
      <c r="Z44" s="1572" t="str">
        <f t="shared" si="13"/>
        <v>工程地质条件</v>
      </c>
      <c r="AA44" s="1573">
        <f t="shared" si="3"/>
        <v>1</v>
      </c>
      <c r="AB44" s="1573">
        <f t="shared" si="4"/>
        <v>1</v>
      </c>
      <c r="AC44" s="1573">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63"/>
      <c r="Q45" s="1569">
        <f t="shared" si="14"/>
        <v>111</v>
      </c>
      <c r="R45" s="1570" t="s">
        <v>8</v>
      </c>
      <c r="S45" s="1571">
        <f t="shared" si="10"/>
        <v>100</v>
      </c>
      <c r="T45" s="1570" t="s">
        <v>8</v>
      </c>
      <c r="U45" s="1571">
        <f t="shared" si="11"/>
        <v>100</v>
      </c>
      <c r="V45" s="1570" t="s">
        <v>8</v>
      </c>
      <c r="W45" s="1571">
        <f t="shared" si="12"/>
        <v>100</v>
      </c>
      <c r="X45" s="1564"/>
      <c r="Y45" s="3463"/>
      <c r="Z45" s="1572">
        <f t="shared" si="13"/>
        <v>111</v>
      </c>
      <c r="AA45" s="1573">
        <f t="shared" si="3"/>
        <v>1</v>
      </c>
      <c r="AB45" s="1573">
        <f t="shared" si="4"/>
        <v>1</v>
      </c>
      <c r="AC45" s="1573">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63"/>
      <c r="Q46" s="1569">
        <f t="shared" si="14"/>
        <v>111</v>
      </c>
      <c r="R46" s="1570" t="s">
        <v>8</v>
      </c>
      <c r="S46" s="1571">
        <f t="shared" si="10"/>
        <v>100</v>
      </c>
      <c r="T46" s="1570" t="s">
        <v>8</v>
      </c>
      <c r="U46" s="1571">
        <f t="shared" si="11"/>
        <v>100</v>
      </c>
      <c r="V46" s="1570" t="s">
        <v>8</v>
      </c>
      <c r="W46" s="1571">
        <f t="shared" si="12"/>
        <v>100</v>
      </c>
      <c r="X46" s="1564"/>
      <c r="Y46" s="3463"/>
      <c r="Z46" s="1572">
        <f t="shared" si="13"/>
        <v>111</v>
      </c>
      <c r="AA46" s="1573">
        <f t="shared" si="3"/>
        <v>1</v>
      </c>
      <c r="AB46" s="1573">
        <f t="shared" si="4"/>
        <v>1</v>
      </c>
      <c r="AC46" s="1573">
        <f t="shared" si="5"/>
        <v>1</v>
      </c>
    </row>
    <row r="47" spans="1:29" s="1338"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63"/>
      <c r="Q47" s="1569">
        <f t="shared" si="14"/>
        <v>111</v>
      </c>
      <c r="R47" s="1574" t="s">
        <v>8</v>
      </c>
      <c r="S47" s="1575">
        <f t="shared" si="10"/>
        <v>100</v>
      </c>
      <c r="T47" s="1574" t="s">
        <v>8</v>
      </c>
      <c r="U47" s="1575">
        <f t="shared" si="11"/>
        <v>100</v>
      </c>
      <c r="V47" s="1574" t="s">
        <v>8</v>
      </c>
      <c r="W47" s="1575">
        <f t="shared" si="12"/>
        <v>100</v>
      </c>
      <c r="X47" s="1576"/>
      <c r="Y47" s="3463"/>
      <c r="Z47" s="1577">
        <f t="shared" si="13"/>
        <v>111</v>
      </c>
      <c r="AA47" s="1573">
        <f t="shared" si="3"/>
        <v>1</v>
      </c>
      <c r="AB47" s="1573">
        <f t="shared" si="4"/>
        <v>1</v>
      </c>
      <c r="AC47" s="1573">
        <f t="shared" si="5"/>
        <v>1</v>
      </c>
    </row>
    <row r="48" spans="1:29" ht="20.25">
      <c r="A48" s="606" t="s">
        <v>552</v>
      </c>
      <c r="B48" s="607" t="s">
        <v>3189</v>
      </c>
      <c r="C48" s="608" t="s">
        <v>1</v>
      </c>
      <c r="D48" s="609"/>
      <c r="E48" s="610">
        <f>ROUND(面积表!U2,0)</f>
        <v>14776</v>
      </c>
      <c r="F48" s="611"/>
      <c r="G48" s="610">
        <f>ROUND(面积表!U3,0)</f>
        <v>14057</v>
      </c>
      <c r="H48" s="613"/>
      <c r="I48" s="610">
        <f>ROUND(面积表!U4,0)</f>
        <v>13850</v>
      </c>
      <c r="J48" s="613"/>
      <c r="K48" s="1339"/>
      <c r="L48" s="2142"/>
      <c r="M48" s="2130"/>
      <c r="N48" s="2130"/>
      <c r="O48" s="2143"/>
      <c r="P48" s="3426" t="str">
        <f>A48</f>
        <v>成交单价</v>
      </c>
      <c r="Q48" s="3426"/>
      <c r="R48" s="3427">
        <f>E48</f>
        <v>14776</v>
      </c>
      <c r="S48" s="3427"/>
      <c r="T48" s="3427">
        <f>G48</f>
        <v>14057</v>
      </c>
      <c r="U48" s="3427"/>
      <c r="V48" s="3427">
        <f>I48</f>
        <v>13850</v>
      </c>
      <c r="W48" s="3427"/>
      <c r="X48" s="1556"/>
      <c r="Y48" s="1578"/>
      <c r="Z48" s="1556"/>
      <c r="AA48" s="1556"/>
      <c r="AB48" s="1556"/>
      <c r="AC48" s="1556"/>
    </row>
    <row r="49" spans="1:29" ht="21" thickBot="1">
      <c r="A49" s="614" t="s">
        <v>2693</v>
      </c>
      <c r="B49" s="615"/>
      <c r="C49" s="616">
        <f>R50</f>
        <v>14943</v>
      </c>
      <c r="D49" s="617"/>
      <c r="E49" s="616">
        <f>R49</f>
        <v>16416</v>
      </c>
      <c r="F49" s="618"/>
      <c r="G49" s="619">
        <f>T49</f>
        <v>14577</v>
      </c>
      <c r="H49" s="617"/>
      <c r="I49" s="616">
        <f>V49</f>
        <v>13837</v>
      </c>
      <c r="J49" s="617"/>
      <c r="K49" s="1340"/>
      <c r="L49" s="2142"/>
      <c r="M49" s="2130"/>
      <c r="N49" s="2130"/>
      <c r="O49" s="2143"/>
      <c r="P49" s="3426" t="str">
        <f>A49</f>
        <v>比较价格（元/平方米）</v>
      </c>
      <c r="Q49" s="3426"/>
      <c r="R49" s="3428">
        <f>ROUND(PRODUCT(R48,AA9:AA47),0)</f>
        <v>16416</v>
      </c>
      <c r="S49" s="3428"/>
      <c r="T49" s="3428">
        <f>ROUND(PRODUCT(T48,AB9:AB47),0)</f>
        <v>14577</v>
      </c>
      <c r="U49" s="3428"/>
      <c r="V49" s="3428">
        <f>ROUND(PRODUCT(V48,AC9:AC47),0)</f>
        <v>13837</v>
      </c>
      <c r="W49" s="3428"/>
      <c r="X49" s="1556"/>
      <c r="Y49" s="1556"/>
      <c r="Z49" s="1556"/>
      <c r="AA49" s="1556"/>
      <c r="AB49" s="1556"/>
      <c r="AC49" s="1556"/>
    </row>
    <row r="50" spans="1:29" ht="21" thickBot="1">
      <c r="A50" s="620" t="s">
        <v>2934</v>
      </c>
      <c r="B50" s="621"/>
      <c r="C50" s="622">
        <f>R50</f>
        <v>14943</v>
      </c>
      <c r="D50" s="622"/>
      <c r="E50" s="622"/>
      <c r="F50" s="622"/>
      <c r="G50" s="622"/>
      <c r="H50" s="622"/>
      <c r="I50" s="622"/>
      <c r="J50" s="622"/>
      <c r="K50" s="1341"/>
      <c r="L50" s="2142"/>
      <c r="M50" s="2130"/>
      <c r="N50" s="2130"/>
      <c r="O50" s="2143"/>
      <c r="P50" s="3423" t="str">
        <f>A50</f>
        <v>估价对象XX用房的比较价格（楼面单价，元/平方米）</v>
      </c>
      <c r="Q50" s="3424"/>
      <c r="R50" s="3425">
        <f>ROUND(AVERAGE(R49:V49),0)</f>
        <v>14943</v>
      </c>
      <c r="S50" s="3425"/>
      <c r="T50" s="3425"/>
      <c r="U50" s="3425"/>
      <c r="V50" s="3425"/>
      <c r="W50" s="3425"/>
      <c r="X50" s="1556"/>
      <c r="Y50" s="1556"/>
      <c r="Z50" s="1556"/>
      <c r="AA50" s="1556"/>
      <c r="AB50" s="1556"/>
      <c r="AC50" s="1556"/>
    </row>
    <row r="51" spans="1:29" ht="20.25">
      <c r="A51" s="2143"/>
      <c r="B51" s="2143"/>
      <c r="C51" s="2143"/>
      <c r="D51" s="2143"/>
      <c r="E51" s="2143"/>
      <c r="F51" s="2143"/>
      <c r="G51" s="2146"/>
      <c r="H51" s="2143"/>
      <c r="I51" s="2143"/>
      <c r="J51" s="2143"/>
      <c r="K51" s="2147"/>
      <c r="L51" s="2148"/>
      <c r="M51" s="2130"/>
      <c r="N51" s="2130"/>
      <c r="O51" s="2143"/>
      <c r="P51" s="1556"/>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f>IF(E48&lt;E49,E49/E48-1,E48/E49-1)</f>
        <v>0.11099079588521921</v>
      </c>
      <c r="F53" s="626" t="str">
        <f>IF(OR(E53&gt;=0.3,E53&lt;=-0.3),"超过30%","")</f>
        <v/>
      </c>
      <c r="G53" s="625">
        <f>IF(G48&lt;G49,G49/G48-1,G48/G49-1)</f>
        <v>3.6992245856157124E-2</v>
      </c>
      <c r="H53" s="626" t="str">
        <f>IF(OR(G53&gt;=0.3,G53&lt;=-0.3),"超过30%","")</f>
        <v/>
      </c>
      <c r="I53" s="625">
        <f>IF(I48&lt;I49,I49/I48-1,I48/I49-1)</f>
        <v>9.3951000939518359E-4</v>
      </c>
      <c r="J53" s="626" t="str">
        <f>IF(OR(I53&gt;=0.3,I53&lt;=-0.3),"超过30%","")</f>
        <v/>
      </c>
      <c r="K53" s="2147"/>
      <c r="L53" s="2148"/>
      <c r="M53" s="2130"/>
      <c r="N53" s="2130"/>
      <c r="O53" s="2143"/>
      <c r="P53" s="155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f>IF(E49&lt;G49,G49/E49-1,E49/G49-1)</f>
        <v>0.12615764560609177</v>
      </c>
      <c r="F54" s="626" t="str">
        <f>IF(OR(E54&gt;=0.2,E54&lt;=-0.2),"超过20%","")</f>
        <v/>
      </c>
      <c r="G54" s="625">
        <f>IF(G49&lt;I49,I49/G49-1,G49/I49-1)</f>
        <v>5.3479800534798061E-2</v>
      </c>
      <c r="H54" s="626" t="str">
        <f>IF(OR(G54&gt;=0.2,G54&lt;=-0.2),"超过20%","")</f>
        <v/>
      </c>
      <c r="I54" s="625">
        <f>IF(I49&lt;E49,E49/I49-1,I49/E49-1)</f>
        <v>0.1863843318638434</v>
      </c>
      <c r="J54" s="626" t="str">
        <f>IF(OR(I54&gt;=0.2,I54&lt;=-0.2),"超过20%","")</f>
        <v/>
      </c>
      <c r="K54" s="2147"/>
      <c r="L54" s="2148"/>
      <c r="M54" s="2130"/>
      <c r="N54" s="2130"/>
      <c r="O54" s="2143"/>
      <c r="P54" s="155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f>IF(E48&lt;G48,G48/E48-1,E48/G48-1)</f>
        <v>5.1148893789570993E-2</v>
      </c>
      <c r="F55" s="626" t="str">
        <f>IF(OR(E55&gt;=0.3,E55&lt;=-0.3),"超过30%","")</f>
        <v/>
      </c>
      <c r="G55" s="625">
        <f>IF(G48&lt;I48,I48/G48-1,G48/I48-1)</f>
        <v>1.4945848375451209E-2</v>
      </c>
      <c r="H55" s="626" t="str">
        <f>IF(OR(G55&gt;=0.3,G55&lt;=-0.3),"超过30%","")</f>
        <v/>
      </c>
      <c r="I55" s="625">
        <f>IF(I48&lt;E48,E48/I48-1,I48/E48-1)</f>
        <v>6.6859205776173214E-2</v>
      </c>
      <c r="J55" s="626" t="str">
        <f>IF(OR(I55&gt;=0.3,I55&lt;=-0.3),"超过30%","")</f>
        <v/>
      </c>
      <c r="K55" s="2150"/>
      <c r="L55" s="2151"/>
      <c r="M55" s="2130"/>
      <c r="N55" s="2130"/>
      <c r="O55" s="2144"/>
      <c r="P55" s="1554"/>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4"/>
      <c r="Q56" s="2144"/>
      <c r="R56" s="2144"/>
      <c r="S56" s="2144"/>
      <c r="T56" s="2144"/>
      <c r="U56" s="2144"/>
      <c r="V56" s="2144"/>
      <c r="W56" s="2144"/>
      <c r="X56" s="2144"/>
      <c r="Y56" s="2144"/>
      <c r="Z56" s="2144"/>
      <c r="AA56" s="2144"/>
      <c r="AB56" s="2144"/>
      <c r="AC56" s="2144"/>
    </row>
    <row r="57" spans="1:29" ht="26.25" customHeight="1">
      <c r="A57" s="628" t="s">
        <v>556</v>
      </c>
      <c r="B57" s="629" t="s">
        <v>557</v>
      </c>
      <c r="C57" s="1557" t="s">
        <v>1721</v>
      </c>
      <c r="D57" s="2225" t="s">
        <v>2292</v>
      </c>
      <c r="E57" s="630" t="s">
        <v>558</v>
      </c>
      <c r="F57" s="631" t="s">
        <v>559</v>
      </c>
      <c r="G57" s="3452" t="s">
        <v>2280</v>
      </c>
      <c r="H57" s="3453"/>
      <c r="I57" s="1552" t="s">
        <v>1719</v>
      </c>
      <c r="J57" s="1552">
        <f>项目基本情况!F41</f>
        <v>0</v>
      </c>
      <c r="K57" s="2152" t="s">
        <v>1720</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560</v>
      </c>
      <c r="B58" s="633">
        <f>C50</f>
        <v>14943</v>
      </c>
      <c r="C58" s="634">
        <v>1</v>
      </c>
      <c r="D58" s="2226">
        <v>1</v>
      </c>
      <c r="E58" s="634">
        <f>'数据-汇总表'!E8+'数据-汇总表'!E9</f>
        <v>96541.88</v>
      </c>
      <c r="F58" s="635">
        <f t="shared" ref="F58:F67" si="15">ROUND(B58*E58/10000,0)</f>
        <v>144263</v>
      </c>
      <c r="G58" s="3454"/>
      <c r="H58" s="3455"/>
      <c r="I58" s="1553">
        <v>1</v>
      </c>
      <c r="J58" s="1553">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561</v>
      </c>
      <c r="B59" s="637">
        <f>ROUND($C$50*C59*D59,0)</f>
        <v>2241</v>
      </c>
      <c r="C59" s="377">
        <f t="shared" ref="C59:C67" si="16">IF($C$57="北京市系数",I59,J59)</f>
        <v>0.6</v>
      </c>
      <c r="D59" s="2227">
        <v>0.25</v>
      </c>
      <c r="E59" s="638">
        <v>0</v>
      </c>
      <c r="F59" s="635">
        <f t="shared" si="15"/>
        <v>0</v>
      </c>
      <c r="G59" s="3456" t="s">
        <v>2281</v>
      </c>
      <c r="H59" s="1946" t="str">
        <f>项目基本情况!B43</f>
        <v>十级</v>
      </c>
      <c r="I59" s="1553">
        <f>SUMIF(修正!$A$45:$A$56,H59,修正!B45:B56)</f>
        <v>0.6</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562</v>
      </c>
      <c r="B60" s="637">
        <f t="shared" ref="B60:B67" si="17">ROUND($C$50*C60*D60,0)</f>
        <v>1121</v>
      </c>
      <c r="C60" s="377">
        <f t="shared" si="16"/>
        <v>0.3</v>
      </c>
      <c r="D60" s="2227">
        <v>0.25</v>
      </c>
      <c r="E60" s="638">
        <v>0</v>
      </c>
      <c r="F60" s="635">
        <f t="shared" si="15"/>
        <v>0</v>
      </c>
      <c r="G60" s="3456"/>
      <c r="H60" s="1946" t="str">
        <f>项目基本情况!B43</f>
        <v>十级</v>
      </c>
      <c r="I60" s="1553">
        <f>SUMIF(修正!$A$45:$A$56,H60,修正!C45:C56)</f>
        <v>0.3</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563</v>
      </c>
      <c r="B61" s="637">
        <f t="shared" si="17"/>
        <v>747</v>
      </c>
      <c r="C61" s="377">
        <f t="shared" si="16"/>
        <v>0.2</v>
      </c>
      <c r="D61" s="2227">
        <v>0.25</v>
      </c>
      <c r="E61" s="638">
        <v>0</v>
      </c>
      <c r="F61" s="635">
        <f t="shared" si="15"/>
        <v>0</v>
      </c>
      <c r="G61" s="3456"/>
      <c r="H61" s="1946" t="str">
        <f>项目基本情况!B43</f>
        <v>十级</v>
      </c>
      <c r="I61" s="1553">
        <f>SUMIF(修正!$A$45:$A$56,H61,修正!D45:D56)</f>
        <v>0.2</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564</v>
      </c>
      <c r="B62" s="637">
        <f t="shared" si="17"/>
        <v>747</v>
      </c>
      <c r="C62" s="377">
        <f t="shared" si="16"/>
        <v>0.2</v>
      </c>
      <c r="D62" s="2227">
        <v>0.25</v>
      </c>
      <c r="E62" s="638">
        <v>0</v>
      </c>
      <c r="F62" s="635">
        <f t="shared" si="15"/>
        <v>0</v>
      </c>
      <c r="G62" s="3456"/>
      <c r="H62" s="1946" t="str">
        <f>项目基本情况!B43</f>
        <v>十级</v>
      </c>
      <c r="I62" s="1553">
        <f>SUMIF(修正!$A$45:$A$56,H62,修正!E45:E56)</f>
        <v>0.2</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2327</v>
      </c>
      <c r="B63" s="637">
        <f t="shared" si="17"/>
        <v>747</v>
      </c>
      <c r="C63" s="377">
        <f t="shared" si="16"/>
        <v>0.2</v>
      </c>
      <c r="D63" s="2227">
        <v>0.25</v>
      </c>
      <c r="E63" s="640">
        <f>'数据-汇总表'!E11</f>
        <v>0</v>
      </c>
      <c r="F63" s="635">
        <f t="shared" si="15"/>
        <v>0</v>
      </c>
      <c r="G63" s="1943" t="s">
        <v>2282</v>
      </c>
      <c r="H63" s="1946" t="str">
        <f>项目基本情况!C43</f>
        <v>十级</v>
      </c>
      <c r="I63" s="1553">
        <f>SUMIF(修正!$A$45:$A$56,H63,修正!F45:F56)</f>
        <v>0.2</v>
      </c>
      <c r="J63" s="1555"/>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565</v>
      </c>
      <c r="B64" s="637">
        <f t="shared" si="17"/>
        <v>747</v>
      </c>
      <c r="C64" s="377">
        <f t="shared" si="16"/>
        <v>0.2</v>
      </c>
      <c r="D64" s="2227">
        <v>0.25</v>
      </c>
      <c r="E64" s="640">
        <f>'数据-汇总表'!E12</f>
        <v>29834.269999999997</v>
      </c>
      <c r="F64" s="635">
        <f t="shared" si="15"/>
        <v>2229</v>
      </c>
      <c r="G64" s="1944" t="s">
        <v>919</v>
      </c>
      <c r="H64" s="1942" t="str">
        <f>IF(G64="商业",项目基本情况!B43,IF(G64="办公",项目基本情况!C43,IF(G64="住宅",项目基本情况!D43,项目基本情况!E43)))</f>
        <v>十级</v>
      </c>
      <c r="I64" s="1553">
        <f>SUMIF(修正!$A$45:$A$56,H64,修正!G45:G56)</f>
        <v>0.2</v>
      </c>
      <c r="J64" s="1555"/>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566</v>
      </c>
      <c r="B65" s="637">
        <f t="shared" si="17"/>
        <v>560</v>
      </c>
      <c r="C65" s="377">
        <f t="shared" si="16"/>
        <v>0.15</v>
      </c>
      <c r="D65" s="2227">
        <v>0.25</v>
      </c>
      <c r="E65" s="640">
        <f>'数据-汇总表'!E13</f>
        <v>27013.690000000002</v>
      </c>
      <c r="F65" s="635">
        <f t="shared" si="15"/>
        <v>1513</v>
      </c>
      <c r="G65" s="1944" t="s">
        <v>919</v>
      </c>
      <c r="H65" s="1942" t="str">
        <f>IF(G65="商业",项目基本情况!B43,IF(G65="办公",项目基本情况!C43,IF(G65="住宅",项目基本情况!D43,项目基本情况!E43)))</f>
        <v>十级</v>
      </c>
      <c r="I65" s="1553">
        <f>SUMIF(修正!$A$45:$A$56,H65,修正!H45:H56)</f>
        <v>0.15</v>
      </c>
      <c r="J65" s="1555"/>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567</v>
      </c>
      <c r="B66" s="637">
        <f t="shared" si="17"/>
        <v>560</v>
      </c>
      <c r="C66" s="377">
        <f t="shared" si="16"/>
        <v>0.15</v>
      </c>
      <c r="D66" s="2227">
        <v>0.25</v>
      </c>
      <c r="E66" s="640">
        <f>'数据-汇总表'!E14</f>
        <v>0</v>
      </c>
      <c r="F66" s="635">
        <f t="shared" si="15"/>
        <v>0</v>
      </c>
      <c r="G66" s="1943" t="s">
        <v>2281</v>
      </c>
      <c r="H66" s="1946" t="str">
        <f>项目基本情况!B43</f>
        <v>十级</v>
      </c>
      <c r="I66" s="1553">
        <f>SUMIF(修正!$A$45:$A$56,H66,修正!H45:H56)</f>
        <v>0.15</v>
      </c>
      <c r="J66" s="1555"/>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568</v>
      </c>
      <c r="B67" s="637">
        <f t="shared" si="17"/>
        <v>560</v>
      </c>
      <c r="C67" s="377">
        <f t="shared" si="16"/>
        <v>0.15</v>
      </c>
      <c r="D67" s="2227">
        <v>0.25</v>
      </c>
      <c r="E67" s="640">
        <f>'数据-汇总表'!E15</f>
        <v>0</v>
      </c>
      <c r="F67" s="635">
        <f t="shared" si="15"/>
        <v>0</v>
      </c>
      <c r="G67" s="1945" t="s">
        <v>2282</v>
      </c>
      <c r="H67" s="1947" t="str">
        <f>项目基本情况!C43</f>
        <v>十级</v>
      </c>
      <c r="I67" s="1553">
        <f>SUMIF(修正!$A$45:$A$56,H67,修正!H45:H56)</f>
        <v>0.15</v>
      </c>
      <c r="J67" s="1555"/>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569</v>
      </c>
      <c r="B68" s="642" t="s">
        <v>17</v>
      </c>
      <c r="C68" s="642" t="s">
        <v>18</v>
      </c>
      <c r="D68" s="642" t="s">
        <v>2293</v>
      </c>
      <c r="E68" s="642">
        <f>IF(B48="楼面地价",SUM(E58:E67),'数据-汇总表'!D3)</f>
        <v>153389.84</v>
      </c>
      <c r="F68" s="643">
        <f>IF(B48="楼面地价",SUM(F58:F67),ROUND(C50*E68/10000,0))</f>
        <v>148005</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821" t="str">
        <f>YEAR(C9)&amp;"-"&amp;MONTH(C9)&amp;"-1"</f>
        <v>2018-5-1</v>
      </c>
      <c r="D70" s="2821">
        <f>EDATE(C70,-3)</f>
        <v>43132</v>
      </c>
      <c r="E70" s="2821">
        <f t="shared" ref="E70:N70" si="18">EDATE(D70,-3)</f>
        <v>43040</v>
      </c>
      <c r="F70" s="2821">
        <f t="shared" si="18"/>
        <v>42948</v>
      </c>
      <c r="G70" s="2821">
        <f t="shared" si="18"/>
        <v>42856</v>
      </c>
      <c r="H70" s="2821">
        <f t="shared" si="18"/>
        <v>42767</v>
      </c>
      <c r="I70" s="2821">
        <f t="shared" si="18"/>
        <v>42675</v>
      </c>
      <c r="J70" s="2821">
        <f t="shared" si="18"/>
        <v>42583</v>
      </c>
      <c r="K70" s="2821">
        <f t="shared" si="18"/>
        <v>42491</v>
      </c>
      <c r="L70" s="2821">
        <f t="shared" si="18"/>
        <v>42401</v>
      </c>
      <c r="M70" s="2821">
        <f t="shared" si="18"/>
        <v>42309</v>
      </c>
      <c r="N70" s="2821">
        <f t="shared" si="18"/>
        <v>42217</v>
      </c>
      <c r="O70" s="2143"/>
      <c r="P70" s="2143"/>
      <c r="Q70" s="2143"/>
      <c r="R70" s="2143"/>
      <c r="S70" s="2143"/>
      <c r="T70" s="2143"/>
      <c r="U70" s="2143"/>
      <c r="V70" s="2143"/>
      <c r="W70" s="2143"/>
      <c r="X70" s="2143"/>
      <c r="Y70" s="2143"/>
      <c r="Z70" s="2143"/>
      <c r="AA70" s="2143"/>
      <c r="AB70" s="2143"/>
      <c r="AC70" s="2143"/>
    </row>
    <row r="71" spans="1:29" ht="21.75" thickBot="1">
      <c r="A71" s="1581" t="s">
        <v>570</v>
      </c>
      <c r="B71" s="1556"/>
      <c r="C71" s="1580"/>
      <c r="D71" s="1580"/>
      <c r="E71" s="1580"/>
      <c r="F71" s="1582"/>
      <c r="G71" s="1582"/>
      <c r="H71" s="1580"/>
      <c r="I71" s="1580"/>
      <c r="J71" s="1580"/>
      <c r="K71" s="1583"/>
      <c r="L71" s="1579"/>
      <c r="M71" s="1580"/>
      <c r="N71" s="1580"/>
      <c r="O71" s="2155"/>
      <c r="P71" s="2155"/>
      <c r="Q71" s="2156"/>
      <c r="R71" s="2143"/>
      <c r="S71" s="2143"/>
      <c r="T71" s="2143"/>
      <c r="U71" s="2143"/>
      <c r="V71" s="2143"/>
      <c r="W71" s="2143"/>
      <c r="X71" s="2143"/>
      <c r="Y71" s="2143"/>
      <c r="Z71" s="2143"/>
      <c r="AA71" s="2143"/>
      <c r="AB71" s="2143"/>
      <c r="AC71" s="2143"/>
    </row>
    <row r="72" spans="1:29" s="1346" customFormat="1" ht="15">
      <c r="A72" s="2590" t="s">
        <v>2532</v>
      </c>
      <c r="B72" s="2591"/>
      <c r="C72" s="2816" t="str">
        <f>YEAR(C70)&amp;"-"&amp;ROUNDUP(MONTH(C70)/3,0)</f>
        <v>2018-2</v>
      </c>
      <c r="D72" s="2823" t="str">
        <f>YEAR(D70)&amp;"-"&amp;ROUNDUP(MONTH(D70)/3,0)</f>
        <v>2018-1</v>
      </c>
      <c r="E72" s="2823" t="str">
        <f t="shared" ref="E72:N72" si="19">YEAR(E70)&amp;"-"&amp;ROUNDUP(MONTH(E70)/3,0)</f>
        <v>2017-4</v>
      </c>
      <c r="F72" s="2823" t="str">
        <f t="shared" si="19"/>
        <v>2017-3</v>
      </c>
      <c r="G72" s="2823" t="str">
        <f t="shared" si="19"/>
        <v>2017-2</v>
      </c>
      <c r="H72" s="2823" t="str">
        <f t="shared" si="19"/>
        <v>2017-1</v>
      </c>
      <c r="I72" s="2823" t="str">
        <f t="shared" si="19"/>
        <v>2016-4</v>
      </c>
      <c r="J72" s="2823" t="str">
        <f t="shared" si="19"/>
        <v>2016-3</v>
      </c>
      <c r="K72" s="2823" t="str">
        <f t="shared" si="19"/>
        <v>2016-2</v>
      </c>
      <c r="L72" s="2823" t="str">
        <f t="shared" si="19"/>
        <v>2016-1</v>
      </c>
      <c r="M72" s="2823" t="str">
        <f t="shared" si="19"/>
        <v>2015-4</v>
      </c>
      <c r="N72" s="2823" t="str">
        <f t="shared" si="19"/>
        <v>2015-3</v>
      </c>
      <c r="O72" s="2157"/>
      <c r="P72" s="2158"/>
      <c r="Q72" s="2159"/>
      <c r="R72" s="2159"/>
      <c r="S72" s="2159"/>
      <c r="T72" s="2159"/>
      <c r="U72" s="2159"/>
      <c r="V72" s="2159"/>
      <c r="W72" s="2159"/>
      <c r="X72" s="2159"/>
      <c r="Y72" s="2159"/>
      <c r="Z72" s="2159"/>
      <c r="AA72" s="2159"/>
      <c r="AB72" s="2159"/>
      <c r="AC72" s="2159"/>
    </row>
    <row r="73" spans="1:29" s="1219" customFormat="1" ht="27" customHeight="1">
      <c r="A73" s="2828" t="s">
        <v>2647</v>
      </c>
      <c r="B73" s="478" t="str">
        <f>"北京市平均增长率"&amp;TEXT(SUMIF(基准地价!N21:N25,A73,基准地价!P21:P25),"0.00%")</f>
        <v>北京市平均增长率2.27%</v>
      </c>
      <c r="C73" s="893">
        <v>100</v>
      </c>
      <c r="D73" s="729">
        <v>99.75</v>
      </c>
      <c r="E73" s="729">
        <v>99.5</v>
      </c>
      <c r="F73" s="729">
        <v>99.25</v>
      </c>
      <c r="G73" s="729">
        <v>99</v>
      </c>
      <c r="H73" s="729">
        <f>G73-0.25</f>
        <v>98.75</v>
      </c>
      <c r="I73" s="729">
        <f t="shared" ref="I73:N73" si="20">H73-0.25</f>
        <v>98.5</v>
      </c>
      <c r="J73" s="729">
        <f t="shared" si="20"/>
        <v>98.25</v>
      </c>
      <c r="K73" s="729">
        <f t="shared" si="20"/>
        <v>98</v>
      </c>
      <c r="L73" s="729">
        <f t="shared" si="20"/>
        <v>97.75</v>
      </c>
      <c r="M73" s="729">
        <f t="shared" si="20"/>
        <v>97.5</v>
      </c>
      <c r="N73" s="729">
        <f t="shared" si="20"/>
        <v>97.25</v>
      </c>
      <c r="O73" s="2160"/>
      <c r="P73" s="2156"/>
      <c r="Q73" s="1991"/>
      <c r="R73" s="1991"/>
      <c r="S73" s="1991"/>
      <c r="T73" s="1991"/>
      <c r="U73" s="1991"/>
      <c r="V73" s="1991"/>
      <c r="W73" s="1991"/>
      <c r="X73" s="1991"/>
      <c r="Y73" s="1991"/>
      <c r="Z73" s="1991"/>
      <c r="AA73" s="1991"/>
      <c r="AB73" s="1991"/>
      <c r="AC73" s="1991"/>
    </row>
    <row r="74" spans="1:29" s="1219" customFormat="1" ht="15" customHeight="1" thickBot="1">
      <c r="A74" s="2818" t="s">
        <v>2646</v>
      </c>
      <c r="B74" s="2827"/>
      <c r="C74" s="2812"/>
      <c r="D74" s="2813"/>
      <c r="E74" s="2813"/>
      <c r="F74" s="2813"/>
      <c r="G74" s="2813"/>
      <c r="H74" s="2813" t="s">
        <v>3193</v>
      </c>
      <c r="I74" s="2813"/>
      <c r="J74" s="2813"/>
      <c r="K74" s="2813"/>
      <c r="L74" s="2813"/>
      <c r="M74" s="2813"/>
      <c r="N74" s="2813"/>
      <c r="O74" s="2160"/>
      <c r="P74" s="2156"/>
      <c r="Q74" s="2156"/>
      <c r="R74" s="1991"/>
      <c r="S74" s="1991"/>
      <c r="T74" s="1991"/>
      <c r="U74" s="1991"/>
      <c r="V74" s="1991"/>
      <c r="W74" s="1991"/>
      <c r="X74" s="1991"/>
      <c r="Y74" s="1991"/>
      <c r="Z74" s="1991"/>
      <c r="AA74" s="1991"/>
      <c r="AB74" s="1991"/>
      <c r="AC74" s="1991"/>
    </row>
    <row r="75" spans="1:29" s="1219" customFormat="1" ht="15">
      <c r="A75" s="658" t="s">
        <v>527</v>
      </c>
      <c r="B75" s="647"/>
      <c r="C75" s="659" t="s">
        <v>572</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ht="15.75" customHeight="1">
      <c r="A77" s="663" t="s">
        <v>573</v>
      </c>
      <c r="B77" s="664" t="s">
        <v>530</v>
      </c>
      <c r="C77" s="3222" t="s">
        <v>3143</v>
      </c>
      <c r="D77" s="3222" t="s">
        <v>3144</v>
      </c>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v>99</v>
      </c>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533</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534</v>
      </c>
      <c r="C81" s="681" t="str">
        <f>C82&amp;"（含）"&amp;"-"&amp;D82</f>
        <v>1（含）-2</v>
      </c>
      <c r="D81" s="681" t="str">
        <f t="shared" ref="D81:L81" si="21">D82&amp;"（含）"&amp;"-"&amp;E82</f>
        <v>2（含）-3</v>
      </c>
      <c r="E81" s="681" t="str">
        <f t="shared" si="21"/>
        <v>3（含）-4</v>
      </c>
      <c r="F81" s="681" t="str">
        <f t="shared" si="21"/>
        <v>4（含）-</v>
      </c>
      <c r="G81" s="681" t="str">
        <f t="shared" si="21"/>
        <v>（含）-</v>
      </c>
      <c r="H81" s="681" t="str">
        <f t="shared" si="21"/>
        <v>（含）-</v>
      </c>
      <c r="I81" s="681" t="str">
        <f t="shared" si="21"/>
        <v>（含）-</v>
      </c>
      <c r="J81" s="681" t="str">
        <f t="shared" si="21"/>
        <v>（含）-</v>
      </c>
      <c r="K81" s="681" t="str">
        <f t="shared" si="21"/>
        <v>（含）-</v>
      </c>
      <c r="L81" s="681" t="str">
        <f t="shared" si="21"/>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1</v>
      </c>
      <c r="D82" s="540">
        <v>2</v>
      </c>
      <c r="E82" s="540">
        <v>3</v>
      </c>
      <c r="F82" s="540">
        <v>4</v>
      </c>
      <c r="G82" s="540"/>
      <c r="H82" s="540"/>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99</v>
      </c>
      <c r="E83" s="678">
        <f t="shared" ref="E83:M83" si="22">IF($B$48="单位面积地价",D83+$K13,D83-$K13)</f>
        <v>98</v>
      </c>
      <c r="F83" s="678">
        <f t="shared" si="22"/>
        <v>97</v>
      </c>
      <c r="G83" s="678">
        <f t="shared" si="22"/>
        <v>96</v>
      </c>
      <c r="H83" s="678">
        <f t="shared" si="22"/>
        <v>95</v>
      </c>
      <c r="I83" s="678">
        <f t="shared" si="22"/>
        <v>94</v>
      </c>
      <c r="J83" s="678">
        <f t="shared" si="22"/>
        <v>93</v>
      </c>
      <c r="K83" s="678">
        <f t="shared" si="22"/>
        <v>92</v>
      </c>
      <c r="L83" s="678">
        <f t="shared" si="22"/>
        <v>91</v>
      </c>
      <c r="M83" s="678">
        <f t="shared" si="22"/>
        <v>90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1373" t="s">
        <v>3145</v>
      </c>
      <c r="D84" s="1374" t="s">
        <v>3158</v>
      </c>
      <c r="E84" s="3230" t="s">
        <v>3159</v>
      </c>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v>92</v>
      </c>
      <c r="D85" s="670">
        <v>96</v>
      </c>
      <c r="E85" s="670">
        <v>100</v>
      </c>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t="str">
        <f>B15</f>
        <v>特殊情况</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0</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535</v>
      </c>
      <c r="B90" s="664" t="s">
        <v>574</v>
      </c>
      <c r="C90" s="702" t="s">
        <v>575</v>
      </c>
      <c r="D90" s="702" t="s">
        <v>576</v>
      </c>
      <c r="E90" s="702" t="s">
        <v>577</v>
      </c>
      <c r="F90" s="702" t="s">
        <v>578</v>
      </c>
      <c r="G90" s="702" t="s">
        <v>579</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98</v>
      </c>
      <c r="E91" s="678">
        <f>D91-$K17</f>
        <v>96</v>
      </c>
      <c r="F91" s="678">
        <f>E91-$K17</f>
        <v>94</v>
      </c>
      <c r="G91" s="678">
        <f>F91-$K17</f>
        <v>92</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580</v>
      </c>
      <c r="C92" s="707" t="s">
        <v>575</v>
      </c>
      <c r="D92" s="707" t="s">
        <v>576</v>
      </c>
      <c r="E92" s="707" t="s">
        <v>577</v>
      </c>
      <c r="F92" s="707" t="s">
        <v>578</v>
      </c>
      <c r="G92" s="707" t="s">
        <v>579</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97.5</v>
      </c>
      <c r="E93" s="678">
        <f>D93-$K19</f>
        <v>95</v>
      </c>
      <c r="F93" s="678">
        <f>E93-$K19</f>
        <v>92.5</v>
      </c>
      <c r="G93" s="678">
        <f>F93-$K19</f>
        <v>90</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581</v>
      </c>
      <c r="C94" s="707" t="s">
        <v>575</v>
      </c>
      <c r="D94" s="707" t="s">
        <v>576</v>
      </c>
      <c r="E94" s="707" t="s">
        <v>577</v>
      </c>
      <c r="F94" s="707" t="s">
        <v>578</v>
      </c>
      <c r="G94" s="707" t="s">
        <v>579</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582</v>
      </c>
      <c r="C96" s="707" t="s">
        <v>575</v>
      </c>
      <c r="D96" s="707" t="s">
        <v>576</v>
      </c>
      <c r="E96" s="707" t="s">
        <v>577</v>
      </c>
      <c r="F96" s="707" t="s">
        <v>578</v>
      </c>
      <c r="G96" s="707" t="s">
        <v>579</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583</v>
      </c>
      <c r="C98" s="707" t="s">
        <v>575</v>
      </c>
      <c r="D98" s="707" t="s">
        <v>576</v>
      </c>
      <c r="E98" s="707" t="s">
        <v>577</v>
      </c>
      <c r="F98" s="707" t="s">
        <v>578</v>
      </c>
      <c r="G98" s="707" t="s">
        <v>579</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584</v>
      </c>
      <c r="C100" s="702" t="s">
        <v>575</v>
      </c>
      <c r="D100" s="702" t="s">
        <v>576</v>
      </c>
      <c r="E100" s="702" t="s">
        <v>577</v>
      </c>
      <c r="F100" s="702" t="s">
        <v>578</v>
      </c>
      <c r="G100" s="702" t="s">
        <v>579</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2548</v>
      </c>
      <c r="C102" s="702" t="s">
        <v>575</v>
      </c>
      <c r="D102" s="702" t="s">
        <v>576</v>
      </c>
      <c r="E102" s="702" t="s">
        <v>577</v>
      </c>
      <c r="F102" s="702" t="s">
        <v>578</v>
      </c>
      <c r="G102" s="702" t="s">
        <v>579</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619" t="s">
        <v>2550</v>
      </c>
      <c r="C104" s="2620" t="s">
        <v>2551</v>
      </c>
      <c r="D104" s="2620" t="s">
        <v>2552</v>
      </c>
      <c r="E104" s="2620" t="s">
        <v>2553</v>
      </c>
      <c r="F104" s="2620" t="s">
        <v>2554</v>
      </c>
      <c r="G104" s="2620" t="s">
        <v>2555</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2"/>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98</v>
      </c>
      <c r="E107" s="678">
        <f t="shared" ref="E107:M107" si="23">D107-$K33</f>
        <v>96</v>
      </c>
      <c r="F107" s="678">
        <f t="shared" si="23"/>
        <v>94</v>
      </c>
      <c r="G107" s="678">
        <f t="shared" si="23"/>
        <v>92</v>
      </c>
      <c r="H107" s="678">
        <f t="shared" si="23"/>
        <v>90</v>
      </c>
      <c r="I107" s="678">
        <f t="shared" si="23"/>
        <v>88</v>
      </c>
      <c r="J107" s="678">
        <f t="shared" si="23"/>
        <v>86</v>
      </c>
      <c r="K107" s="678">
        <f t="shared" si="23"/>
        <v>84</v>
      </c>
      <c r="L107" s="678">
        <f t="shared" si="23"/>
        <v>82</v>
      </c>
      <c r="M107" s="678">
        <f t="shared" si="23"/>
        <v>80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544</v>
      </c>
      <c r="C108" s="3230" t="s">
        <v>3167</v>
      </c>
      <c r="D108" s="3230" t="s">
        <v>3168</v>
      </c>
      <c r="E108" s="3230" t="s">
        <v>3170</v>
      </c>
      <c r="F108" s="3230" t="s">
        <v>3172</v>
      </c>
      <c r="G108" s="3230" t="s">
        <v>3173</v>
      </c>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4">D109-$K34</f>
        <v>98</v>
      </c>
      <c r="F109" s="678">
        <f t="shared" si="24"/>
        <v>97</v>
      </c>
      <c r="G109" s="678">
        <f t="shared" si="24"/>
        <v>96</v>
      </c>
      <c r="H109" s="678">
        <f t="shared" si="24"/>
        <v>95</v>
      </c>
      <c r="I109" s="678">
        <f t="shared" si="24"/>
        <v>94</v>
      </c>
      <c r="J109" s="678">
        <f t="shared" si="24"/>
        <v>93</v>
      </c>
      <c r="K109" s="678">
        <f t="shared" si="24"/>
        <v>92</v>
      </c>
      <c r="L109" s="678">
        <f t="shared" si="24"/>
        <v>91</v>
      </c>
      <c r="M109" s="678">
        <f t="shared" si="24"/>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545</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36.75" customHeight="1">
      <c r="A118" s="663" t="s">
        <v>547</v>
      </c>
      <c r="B118" s="664" t="s">
        <v>589</v>
      </c>
      <c r="C118" s="703" t="str">
        <f t="shared" ref="C118:L118" si="26">C119&amp;"(含)"&amp;"-"&amp;D119</f>
        <v>0(含)-30000</v>
      </c>
      <c r="D118" s="703" t="str">
        <f t="shared" si="26"/>
        <v>30000(含)-60000</v>
      </c>
      <c r="E118" s="703" t="str">
        <f t="shared" si="26"/>
        <v>60000(含)-90000</v>
      </c>
      <c r="F118" s="703" t="str">
        <f t="shared" si="26"/>
        <v>90000(含)-120000</v>
      </c>
      <c r="G118" s="703" t="str">
        <f t="shared" si="26"/>
        <v>120000(含)-150000</v>
      </c>
      <c r="H118" s="703" t="str">
        <f t="shared" si="26"/>
        <v>150000(含)-</v>
      </c>
      <c r="I118" s="703" t="str">
        <f t="shared" si="26"/>
        <v>(含)-</v>
      </c>
      <c r="J118" s="3111" t="str">
        <f t="shared" si="26"/>
        <v>(含)-</v>
      </c>
      <c r="K118" s="3111" t="str">
        <f t="shared" si="26"/>
        <v>(含)-</v>
      </c>
      <c r="L118" s="3112" t="str">
        <f t="shared" si="26"/>
        <v>(含)-</v>
      </c>
      <c r="M118" s="3113"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30000</v>
      </c>
      <c r="E119" s="729">
        <v>60000</v>
      </c>
      <c r="F119" s="729">
        <v>90000</v>
      </c>
      <c r="G119" s="729">
        <v>120000</v>
      </c>
      <c r="H119" s="729">
        <v>150000</v>
      </c>
      <c r="I119" s="729"/>
      <c r="J119" s="2365"/>
      <c r="K119" s="2365"/>
      <c r="L119" s="2366"/>
      <c r="M119" s="2367"/>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98</v>
      </c>
      <c r="D120" s="725">
        <v>100</v>
      </c>
      <c r="E120" s="725">
        <v>98</v>
      </c>
      <c r="F120" s="725">
        <v>96</v>
      </c>
      <c r="G120" s="725">
        <v>94</v>
      </c>
      <c r="H120" s="725">
        <v>92</v>
      </c>
      <c r="I120" s="725"/>
      <c r="J120" s="725"/>
      <c r="K120" s="725"/>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590</v>
      </c>
      <c r="C121" s="3233" t="s">
        <v>3178</v>
      </c>
      <c r="D121" s="3233" t="s">
        <v>3180</v>
      </c>
      <c r="E121" s="3233" t="s">
        <v>3181</v>
      </c>
      <c r="F121" s="3233" t="s">
        <v>3182</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591</v>
      </c>
      <c r="C123" s="687" t="s">
        <v>3183</v>
      </c>
      <c r="D123" s="687" t="s">
        <v>3153</v>
      </c>
      <c r="E123" s="687" t="s">
        <v>3149</v>
      </c>
      <c r="F123" s="717" t="s">
        <v>3150</v>
      </c>
      <c r="G123" s="717" t="s">
        <v>3184</v>
      </c>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8">C124-$K42</f>
        <v>98</v>
      </c>
      <c r="E124" s="678">
        <f t="shared" si="28"/>
        <v>96</v>
      </c>
      <c r="F124" s="678">
        <f t="shared" si="28"/>
        <v>94</v>
      </c>
      <c r="G124" s="678">
        <f t="shared" si="28"/>
        <v>92</v>
      </c>
      <c r="H124" s="678">
        <f t="shared" si="28"/>
        <v>90</v>
      </c>
      <c r="I124" s="678">
        <f t="shared" si="28"/>
        <v>88</v>
      </c>
      <c r="J124" s="678">
        <f t="shared" si="28"/>
        <v>86</v>
      </c>
      <c r="K124" s="678">
        <f t="shared" si="28"/>
        <v>84</v>
      </c>
      <c r="L124" s="678">
        <f t="shared" si="28"/>
        <v>82</v>
      </c>
      <c r="M124" s="679">
        <f t="shared" si="28"/>
        <v>80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2425</v>
      </c>
      <c r="C125" s="1374" t="s">
        <v>3163</v>
      </c>
      <c r="D125" s="1374" t="s">
        <v>3185</v>
      </c>
      <c r="E125" s="1374" t="s">
        <v>3186</v>
      </c>
      <c r="F125" s="1374" t="s">
        <v>3187</v>
      </c>
      <c r="G125" s="1374" t="s">
        <v>3188</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98.5</v>
      </c>
      <c r="E126" s="678">
        <f t="shared" ref="E126:M126" si="29">D126-$K43</f>
        <v>97</v>
      </c>
      <c r="F126" s="678">
        <f t="shared" si="29"/>
        <v>95.5</v>
      </c>
      <c r="G126" s="678">
        <f t="shared" si="29"/>
        <v>94</v>
      </c>
      <c r="H126" s="678">
        <f t="shared" si="29"/>
        <v>92.5</v>
      </c>
      <c r="I126" s="678">
        <f t="shared" si="29"/>
        <v>91</v>
      </c>
      <c r="J126" s="678">
        <f t="shared" si="29"/>
        <v>89.5</v>
      </c>
      <c r="K126" s="678">
        <f t="shared" si="29"/>
        <v>88</v>
      </c>
      <c r="L126" s="678">
        <f t="shared" si="29"/>
        <v>86.5</v>
      </c>
      <c r="M126" s="679">
        <f t="shared" si="29"/>
        <v>85</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592</v>
      </c>
      <c r="C127" s="687" t="s">
        <v>3183</v>
      </c>
      <c r="D127" s="687" t="s">
        <v>3153</v>
      </c>
      <c r="E127" s="717" t="s">
        <v>3149</v>
      </c>
      <c r="F127" s="717" t="s">
        <v>3150</v>
      </c>
      <c r="G127" s="717" t="s">
        <v>3184</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699"/>
      <c r="E132" s="699"/>
      <c r="F132" s="699"/>
      <c r="G132" s="670"/>
      <c r="H132" s="670"/>
      <c r="I132" s="670"/>
      <c r="J132" s="670"/>
      <c r="K132" s="670"/>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4"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4"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4"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4"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4"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4"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4"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4"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4"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4"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4"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4"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4"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4"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4"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4"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4"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4"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4"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4"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4"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4"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4"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4"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4"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4"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4"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4"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4"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4"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4"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4"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4"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4"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4"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4"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4"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4"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4"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4"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4"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4"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4"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4"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4"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4"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4"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4"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4"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4"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4"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4"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4"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4"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4"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4"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4"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4"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4"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4"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4"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4"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4"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4"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4"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4"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4"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4"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4"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4"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4"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4"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4"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4"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4"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4"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4"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4"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4"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4"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4"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4"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4"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4"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4"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4"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4"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4"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4"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4"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4"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4"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4"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4"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4"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4"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4"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4"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4"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4"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4"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4"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4"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4"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4"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4"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4"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4"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4"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4"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4"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4"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4"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4"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4"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4"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4"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4"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4"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4"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4"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13" sqref="L13"/>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462</v>
      </c>
      <c r="B1" s="2831"/>
      <c r="C1" s="2102"/>
      <c r="D1" s="2102"/>
      <c r="E1" s="2102"/>
      <c r="F1" s="2102"/>
      <c r="G1" s="2102"/>
      <c r="H1" s="2102"/>
      <c r="I1" s="2102"/>
      <c r="J1" s="2102"/>
      <c r="K1" s="421">
        <f>MATCH(B1,'数据-取费表'!A6:A16,0)+5</f>
        <v>11</v>
      </c>
    </row>
    <row r="2" spans="1:31" s="2039" customFormat="1" ht="18" customHeight="1">
      <c r="A2" s="2099" t="s">
        <v>463</v>
      </c>
      <c r="B2" s="2103">
        <f ca="1">C36</f>
        <v>132493</v>
      </c>
      <c r="C2" s="2102"/>
      <c r="D2" s="2102"/>
      <c r="E2" s="2102"/>
      <c r="F2" s="2102"/>
      <c r="G2" s="2102"/>
      <c r="H2" s="2102"/>
      <c r="I2" s="2102"/>
      <c r="J2" s="2102"/>
      <c r="K2" s="2102"/>
    </row>
    <row r="3" spans="1:31" s="2039" customFormat="1" ht="18" customHeight="1">
      <c r="A3" s="2104" t="s">
        <v>1681</v>
      </c>
      <c r="B3" s="2105">
        <f ca="1">ROUND(B2*10000/IF(B1="",'数据-汇总表'!E3,INDIRECT("'数据-取费表'!K"&amp;$K$1)),0)</f>
        <v>7282</v>
      </c>
      <c r="C3" s="2102"/>
      <c r="D3" s="2102"/>
      <c r="E3" s="2102"/>
      <c r="F3" s="2102"/>
      <c r="G3" s="2102"/>
      <c r="H3" s="2102"/>
      <c r="I3" s="2102"/>
      <c r="J3" s="2102"/>
      <c r="K3" s="2102"/>
    </row>
    <row r="4" spans="1:31" s="2039" customFormat="1" ht="18" customHeight="1">
      <c r="A4" s="425" t="s">
        <v>464</v>
      </c>
      <c r="B4" s="426">
        <f ca="1">ROUND(B2*10000/IF(B1="",'数据-汇总表'!D3,INDIRECT("'数据-取费表'!R"&amp;$K$1)),0)</f>
        <v>21335</v>
      </c>
      <c r="C4" s="427"/>
      <c r="D4" s="421"/>
      <c r="E4" s="421"/>
      <c r="F4" s="421"/>
      <c r="G4" s="421"/>
      <c r="H4" s="421"/>
      <c r="I4" s="421"/>
      <c r="J4" s="421"/>
      <c r="K4" s="421"/>
    </row>
    <row r="5" spans="1:31" s="2039" customFormat="1" ht="18" customHeight="1" thickBot="1">
      <c r="A5" s="428"/>
      <c r="B5" s="429">
        <f ca="1">ROUND(B2/(IF(B1="",'数据-汇总表'!D3,INDIRECT("'数据-取费表'!R"&amp;$K$1))/666.67),0)</f>
        <v>1422</v>
      </c>
      <c r="C5" s="430" t="s">
        <v>465</v>
      </c>
      <c r="D5" s="421"/>
      <c r="E5" s="421"/>
      <c r="F5" s="421"/>
      <c r="G5" s="421"/>
      <c r="H5" s="421"/>
      <c r="I5" s="421"/>
      <c r="J5" s="421"/>
      <c r="K5" s="421"/>
    </row>
    <row r="6" spans="1:31" s="2109" customFormat="1" ht="16.5" customHeight="1">
      <c r="A6" s="2850" t="s">
        <v>1839</v>
      </c>
      <c r="B6" s="2851"/>
      <c r="C6" s="2852">
        <f ca="1">SUM(C10:K10)</f>
        <v>245504</v>
      </c>
      <c r="D6" s="2851"/>
      <c r="E6" s="2851"/>
      <c r="F6" s="2851"/>
      <c r="G6" s="2851"/>
      <c r="H6" s="2851"/>
      <c r="I6" s="2851"/>
      <c r="J6" s="2851"/>
      <c r="K6" s="2853"/>
    </row>
    <row r="7" spans="1:31" s="2111" customFormat="1" ht="15">
      <c r="A7" s="2854" t="s">
        <v>466</v>
      </c>
      <c r="B7" s="2855" t="s">
        <v>467</v>
      </c>
      <c r="C7" s="435" t="s">
        <v>3077</v>
      </c>
      <c r="D7" s="435" t="s">
        <v>3079</v>
      </c>
      <c r="E7" s="435" t="s">
        <v>2989</v>
      </c>
      <c r="F7" s="435" t="s">
        <v>35</v>
      </c>
      <c r="G7" s="435" t="s">
        <v>2988</v>
      </c>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1842</v>
      </c>
      <c r="B8" s="260" t="s">
        <v>468</v>
      </c>
      <c r="C8" s="2856">
        <v>22434</v>
      </c>
      <c r="D8" s="2856">
        <f ca="1">不动产收益法住!B3</f>
        <v>21249</v>
      </c>
      <c r="E8" s="2856">
        <f ca="1">不动产收益法仓!C43</f>
        <v>7634</v>
      </c>
      <c r="F8" s="2856">
        <f ca="1">不动产收益法车!B3</f>
        <v>3908</v>
      </c>
      <c r="G8" s="2856">
        <f ca="1">不动产收益法商!B3</f>
        <v>14861</v>
      </c>
      <c r="H8" s="2856"/>
      <c r="I8" s="2856"/>
      <c r="J8" s="2856"/>
      <c r="K8" s="2857"/>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1843</v>
      </c>
      <c r="B9" s="260" t="s">
        <v>469</v>
      </c>
      <c r="C9" s="440">
        <f>SUMIF('数据-汇总表'!$C19:$C33,'剩余法-待开发'!C7,'数据-汇总表'!$E19:$E33)</f>
        <v>65050.73000000001</v>
      </c>
      <c r="D9" s="440">
        <f>SUMIF('数据-汇总表'!$C19:$C33,'剩余法-待开发'!D7,'数据-汇总表'!$E19:$E33)</f>
        <v>30424.589999999997</v>
      </c>
      <c r="E9" s="440">
        <f>SUMIF('数据-汇总表'!$C19:$C33,'剩余法-待开发'!E7,'数据-汇总表'!$E19:$E33)</f>
        <v>29834.269999999997</v>
      </c>
      <c r="F9" s="440">
        <f>SUMIF('数据-汇总表'!$C19:$C33,'剩余法-待开发'!F7,'数据-汇总表'!$E19:$E33)</f>
        <v>27013.690000000002</v>
      </c>
      <c r="G9" s="440">
        <f>SUMIF('数据-汇总表'!$C19:$C33,'剩余法-待开发'!G7,'数据-汇总表'!$E19:$E33)</f>
        <v>1066.56</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58" t="s">
        <v>1844</v>
      </c>
      <c r="B10" s="2844" t="s">
        <v>470</v>
      </c>
      <c r="C10" s="3048">
        <f>ROUND(C8*C9/10000,0)</f>
        <v>145935</v>
      </c>
      <c r="D10" s="3048">
        <f ca="1">不动产收益法住!B2</f>
        <v>64650</v>
      </c>
      <c r="E10" s="3048">
        <f ca="1">不动产收益法仓!C40</f>
        <v>22776</v>
      </c>
      <c r="F10" s="2859">
        <f ca="1">不动产收益法车!B2</f>
        <v>10558</v>
      </c>
      <c r="G10" s="2859">
        <f ca="1">不动产收益法商!B2</f>
        <v>1585</v>
      </c>
      <c r="H10" s="2859"/>
      <c r="I10" s="2859"/>
      <c r="J10" s="2859"/>
      <c r="K10" s="2860"/>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61" t="s">
        <v>1840</v>
      </c>
      <c r="B11" s="2851"/>
      <c r="C11" s="2851"/>
      <c r="D11" s="2851"/>
      <c r="E11" s="2851"/>
      <c r="F11" s="2851"/>
      <c r="G11" s="2851"/>
      <c r="H11" s="2851"/>
      <c r="I11" s="2851"/>
      <c r="J11" s="2851"/>
      <c r="K11" s="2853"/>
    </row>
    <row r="12" spans="1:31" s="2083" customFormat="1" ht="13.5" customHeight="1">
      <c r="A12" s="2862" t="s">
        <v>466</v>
      </c>
      <c r="B12" s="2834" t="s">
        <v>467</v>
      </c>
      <c r="C12" s="2863" t="s">
        <v>471</v>
      </c>
      <c r="D12" s="2830" t="s">
        <v>472</v>
      </c>
      <c r="E12" s="2830" t="s">
        <v>473</v>
      </c>
      <c r="F12" s="2830" t="s">
        <v>474</v>
      </c>
      <c r="G12" s="2834"/>
      <c r="H12" s="2835"/>
      <c r="I12" s="2835"/>
      <c r="J12" s="2835"/>
      <c r="K12" s="2836"/>
      <c r="L12" s="2083">
        <f ca="1">F8*35</f>
        <v>136780</v>
      </c>
    </row>
    <row r="13" spans="1:31" s="2114" customFormat="1" ht="13.5" customHeight="1">
      <c r="A13" s="2864" t="s">
        <v>1845</v>
      </c>
      <c r="B13" s="2865" t="s">
        <v>475</v>
      </c>
      <c r="C13" s="449">
        <f ca="1">IF(B1="",'数据-取费表'!P16,INDIRECT("'数据-取费表'!p"&amp;$K$1)+INDIRECT("'数据-取费表'!t"&amp;$K$1))</f>
        <v>47287</v>
      </c>
      <c r="D13" s="2866"/>
      <c r="E13" s="2867"/>
      <c r="F13" s="2868"/>
      <c r="G13" s="2834"/>
      <c r="H13" s="2835"/>
      <c r="I13" s="2835"/>
      <c r="J13" s="2835"/>
      <c r="K13" s="2836"/>
    </row>
    <row r="14" spans="1:31" s="2114" customFormat="1" ht="13.5" customHeight="1">
      <c r="A14" s="2864" t="s">
        <v>1846</v>
      </c>
      <c r="B14" s="2865" t="s">
        <v>476</v>
      </c>
      <c r="C14" s="53">
        <f ca="1">ROUND(C13*F14,0)</f>
        <v>1419</v>
      </c>
      <c r="D14" s="2866"/>
      <c r="E14" s="2867"/>
      <c r="F14" s="2869">
        <f>'数据-取费表'!B33</f>
        <v>0.03</v>
      </c>
      <c r="G14" s="2834" t="s">
        <v>477</v>
      </c>
      <c r="H14" s="2835"/>
      <c r="I14" s="2835"/>
      <c r="J14" s="2835"/>
      <c r="K14" s="2836"/>
    </row>
    <row r="15" spans="1:31" s="2114" customFormat="1" ht="13.5" customHeight="1">
      <c r="A15" s="2864" t="s">
        <v>1847</v>
      </c>
      <c r="B15" s="2865" t="s">
        <v>478</v>
      </c>
      <c r="C15" s="53">
        <f ca="1">ROUND(IF(B1="",SUMIF('数据-取费表'!C:C,"住宅",'数据-取费表'!P:P)*F15,IF(INDIRECT("'数据-取费表'!c"&amp;$K$1)="住宅",INDIRECT("'数据-取费表'!P"&amp;$K$1)*F15,0)),0)</f>
        <v>1241</v>
      </c>
      <c r="D15" s="2866"/>
      <c r="E15" s="2867"/>
      <c r="F15" s="2869">
        <f>'数据-取费表'!B34</f>
        <v>0.05</v>
      </c>
      <c r="G15" s="2834" t="s">
        <v>479</v>
      </c>
      <c r="H15" s="2835"/>
      <c r="I15" s="2835"/>
      <c r="J15" s="2835"/>
      <c r="K15" s="2836"/>
    </row>
    <row r="16" spans="1:31" s="2115" customFormat="1" ht="13.5" customHeight="1">
      <c r="A16" s="2864" t="s">
        <v>1848</v>
      </c>
      <c r="B16" s="2865" t="s">
        <v>480</v>
      </c>
      <c r="C16" s="53">
        <f ca="1">ROUND(D16*E16/10000,0)</f>
        <v>3275</v>
      </c>
      <c r="D16" s="2866">
        <f ca="1">IF(B1="",'数据-汇总表'!E3,INDIRECT("'数据-取费表'!K"&amp;$K$1)+INDIRECT("'数据-取费表'!S"&amp;$K$1))</f>
        <v>181951.64</v>
      </c>
      <c r="E16" s="53">
        <f>'数据-取费表'!B35</f>
        <v>180</v>
      </c>
      <c r="F16" s="2869"/>
      <c r="G16" s="2834"/>
      <c r="H16" s="2835"/>
      <c r="I16" s="2835"/>
      <c r="J16" s="2835"/>
      <c r="K16" s="2836"/>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64" t="s">
        <v>1849</v>
      </c>
      <c r="B17" s="2865" t="s">
        <v>481</v>
      </c>
      <c r="C17" s="2870">
        <f ca="1">ROUND(C13*F17,0)</f>
        <v>709</v>
      </c>
      <c r="D17" s="474"/>
      <c r="E17" s="2870"/>
      <c r="F17" s="2871">
        <f>'数据-取费表'!B36</f>
        <v>1.4999999999999999E-2</v>
      </c>
      <c r="G17" s="260" t="s">
        <v>482</v>
      </c>
      <c r="H17" s="2837"/>
      <c r="I17" s="2837"/>
      <c r="J17" s="2837"/>
      <c r="K17" s="278"/>
    </row>
    <row r="18" spans="1:14" s="2114" customFormat="1" ht="13.5" customHeight="1">
      <c r="A18" s="2872" t="s">
        <v>1850</v>
      </c>
      <c r="B18" s="2873" t="s">
        <v>483</v>
      </c>
      <c r="C18" s="2874">
        <f ca="1">SUM(C13:C17)</f>
        <v>53931</v>
      </c>
      <c r="D18" s="2875"/>
      <c r="E18" s="467"/>
      <c r="F18" s="467"/>
      <c r="G18" s="2838" t="s">
        <v>2430</v>
      </c>
      <c r="H18" s="2839"/>
      <c r="I18" s="2839"/>
      <c r="J18" s="2839"/>
      <c r="K18" s="2840"/>
    </row>
    <row r="19" spans="1:14" s="2114" customFormat="1" ht="13.5" customHeight="1">
      <c r="A19" s="2872" t="s">
        <v>1851</v>
      </c>
      <c r="B19" s="2873" t="s">
        <v>484</v>
      </c>
      <c r="C19" s="2830">
        <f ca="1">ROUND(D19*E19/10000,0)</f>
        <v>910</v>
      </c>
      <c r="D19" s="2876">
        <f ca="1">D16</f>
        <v>181951.64</v>
      </c>
      <c r="E19" s="2830">
        <f>'数据-取费表'!B32</f>
        <v>50</v>
      </c>
      <c r="F19" s="467"/>
      <c r="G19" s="2834" t="s">
        <v>485</v>
      </c>
      <c r="H19" s="2835"/>
      <c r="I19" s="2839"/>
      <c r="J19" s="2839"/>
      <c r="K19" s="2840"/>
    </row>
    <row r="20" spans="1:14" s="2114" customFormat="1" ht="13.5" customHeight="1">
      <c r="A20" s="2872" t="s">
        <v>1852</v>
      </c>
      <c r="B20" s="2873" t="s">
        <v>486</v>
      </c>
      <c r="C20" s="2830">
        <f ca="1">C21+C22-IF(B1="",'数据-取费表'!B29,IF(G20="已全部缴纳",C21+C22,H20))</f>
        <v>3075</v>
      </c>
      <c r="D20" s="2876"/>
      <c r="E20" s="2830"/>
      <c r="F20" s="2877"/>
      <c r="G20" s="3107"/>
      <c r="H20" s="2832"/>
      <c r="I20" s="2833" t="s">
        <v>2651</v>
      </c>
      <c r="J20" s="2839"/>
      <c r="K20" s="2840"/>
    </row>
    <row r="21" spans="1:14" s="2114" customFormat="1" ht="13.5" customHeight="1">
      <c r="A21" s="2864" t="s">
        <v>1853</v>
      </c>
      <c r="B21" s="2865" t="s">
        <v>487</v>
      </c>
      <c r="C21" s="53">
        <f ca="1">ROUND(D21*E21/10000,0)</f>
        <v>1432</v>
      </c>
      <c r="D21" s="2866">
        <f ca="1">IF(B1="",'数据-汇总表'!E5,IF(INDIRECT("'数据-取费表'!c"&amp;$K$1)="住宅",INDIRECT("'数据-取费表'!k"&amp;$K$1),0))</f>
        <v>95475.32</v>
      </c>
      <c r="E21" s="53">
        <f>'数据-取费表'!B27</f>
        <v>150</v>
      </c>
      <c r="F21" s="2869"/>
      <c r="G21" s="26"/>
      <c r="H21" s="51"/>
      <c r="I21" s="51"/>
      <c r="J21" s="51"/>
      <c r="K21" s="2841"/>
    </row>
    <row r="22" spans="1:14" s="2114" customFormat="1" ht="13.5" customHeight="1">
      <c r="A22" s="2864" t="s">
        <v>1854</v>
      </c>
      <c r="B22" s="2865" t="s">
        <v>488</v>
      </c>
      <c r="C22" s="53">
        <f ca="1">ROUND(D22*E22/10000,0)</f>
        <v>1643</v>
      </c>
      <c r="D22" s="2866">
        <f ca="1">IF(B1="",'数据-汇总表'!E6,IF(INDIRECT("'数据-取费表'!c"&amp;$K$1)="住宅",INDIRECT("'数据-取费表'!s"&amp;$K$1),INDIRECT("'数据-取费表'!k"&amp;$K$1)+INDIRECT("'数据-取费表'!s"&amp;$K$1)))</f>
        <v>86476.32</v>
      </c>
      <c r="E22" s="53">
        <f>'数据-取费表'!B28</f>
        <v>190</v>
      </c>
      <c r="F22" s="2869"/>
      <c r="G22" s="26"/>
      <c r="H22" s="51"/>
      <c r="I22" s="51"/>
      <c r="J22" s="51"/>
      <c r="K22" s="2841"/>
    </row>
    <row r="23" spans="1:14" s="2114" customFormat="1" ht="13.5" customHeight="1">
      <c r="A23" s="2872" t="s">
        <v>1855</v>
      </c>
      <c r="B23" s="3054" t="s">
        <v>2834</v>
      </c>
      <c r="C23" s="2874">
        <f ca="1">ROUND((C18+C19+C20)*F23,0)</f>
        <v>1158</v>
      </c>
      <c r="D23" s="467"/>
      <c r="E23" s="467"/>
      <c r="F23" s="2878">
        <f>'数据-取费表'!B37</f>
        <v>0.02</v>
      </c>
      <c r="G23" s="2834" t="s">
        <v>2431</v>
      </c>
      <c r="H23" s="2835"/>
      <c r="I23" s="2835"/>
      <c r="J23" s="2835"/>
      <c r="K23" s="2836"/>
      <c r="L23" s="2116"/>
      <c r="M23" s="2116"/>
      <c r="N23" s="2116"/>
    </row>
    <row r="24" spans="1:14" s="2114" customFormat="1" ht="13.5" customHeight="1">
      <c r="A24" s="2872" t="s">
        <v>1856</v>
      </c>
      <c r="B24" s="3054" t="s">
        <v>2837</v>
      </c>
      <c r="C24" s="2874">
        <f ca="1">ROUND(C6*F24,0)</f>
        <v>4910</v>
      </c>
      <c r="D24" s="474"/>
      <c r="E24" s="472"/>
      <c r="F24" s="2878">
        <f>'数据-取费表'!B38</f>
        <v>0.02</v>
      </c>
      <c r="G24" s="2843" t="s">
        <v>495</v>
      </c>
      <c r="H24" s="2837"/>
      <c r="I24" s="2837"/>
      <c r="J24" s="2837"/>
      <c r="K24" s="278"/>
      <c r="L24" s="2116"/>
      <c r="M24" s="2116"/>
      <c r="N24" s="2116"/>
    </row>
    <row r="25" spans="1:14" s="2117" customFormat="1" ht="13.5" customHeight="1">
      <c r="A25" s="2872" t="s">
        <v>1857</v>
      </c>
      <c r="B25" s="3054" t="s">
        <v>2835</v>
      </c>
      <c r="C25" s="466">
        <f>ROUND(F25/(1+'数据-取费表'!C42),4)</f>
        <v>2.9000000000000001E-2</v>
      </c>
      <c r="D25" s="461" t="s">
        <v>2829</v>
      </c>
      <c r="E25" s="468"/>
      <c r="F25" s="2878">
        <f>'数据-取费表'!B48+'数据-取费表'!B49</f>
        <v>3.0499999999999999E-2</v>
      </c>
      <c r="G25" s="2842" t="s">
        <v>2288</v>
      </c>
      <c r="H25" s="2835"/>
      <c r="I25" s="2835"/>
      <c r="J25" s="2835"/>
      <c r="K25" s="2836"/>
    </row>
    <row r="26" spans="1:14" s="2116" customFormat="1" ht="13.5" customHeight="1">
      <c r="A26" s="2872" t="s">
        <v>1858</v>
      </c>
      <c r="B26" s="3055" t="s">
        <v>2836</v>
      </c>
      <c r="C26" s="2879">
        <f ca="1">C28</f>
        <v>3039</v>
      </c>
      <c r="D26" s="466">
        <f ca="1">C27</f>
        <v>0.10009999999999999</v>
      </c>
      <c r="E26" s="468" t="s">
        <v>491</v>
      </c>
      <c r="F26" s="470">
        <f ca="1">'数据-取费表'!B40</f>
        <v>4.7500000000000001E-2</v>
      </c>
      <c r="G26" s="2594" t="str">
        <f>IF('数据-取费表'!B22&lt;=1,"单利计息。","复利计息。")&amp;"后续开发成本、管理费用及销售费用产生的利息。"</f>
        <v>复利计息。后续开发成本、管理费用及销售费用产生的利息。</v>
      </c>
      <c r="H26" s="2839"/>
      <c r="I26" s="2839"/>
      <c r="J26" s="2839"/>
      <c r="K26" s="2840"/>
    </row>
    <row r="27" spans="1:14" s="2118" customFormat="1" ht="13.5" customHeight="1">
      <c r="A27" s="802" t="s">
        <v>1853</v>
      </c>
      <c r="B27" s="2880" t="s">
        <v>492</v>
      </c>
      <c r="C27" s="2881">
        <f ca="1">ROUND(IF('数据-取费表'!B22&lt;=1,(1+C25)*F26*'数据-取费表'!B24,(1+C25)*(POWER((1+F26),'数据-取费表'!B24)-1)),4)</f>
        <v>0.10009999999999999</v>
      </c>
      <c r="D27" s="471"/>
      <c r="E27" s="472"/>
      <c r="F27" s="473"/>
      <c r="G27" s="2594" t="str">
        <f>IF('数据-取费表'!B22&lt;=1,"（1+取得税费率/(1+5%)）×年利率×建设期","（1+取得税费率）/(1+5%)×((1+年利率)^建设期-1)")</f>
        <v>（1+取得税费率）/(1+5%)×((1+年利率)^建设期-1)</v>
      </c>
      <c r="H27" s="2837"/>
      <c r="I27" s="2837"/>
      <c r="J27" s="2837"/>
      <c r="K27" s="278"/>
    </row>
    <row r="28" spans="1:14" s="2118" customFormat="1" ht="13.5" customHeight="1">
      <c r="A28" s="802" t="s">
        <v>1854</v>
      </c>
      <c r="B28" s="2880" t="s">
        <v>2838</v>
      </c>
      <c r="C28" s="2882">
        <f ca="1">ROUND(IF('数据-取费表'!B22&lt;=1,(C18+C19+C20+C23+C24)*F26*'数据-取费表'!B24/2,(C18+C19+C20+C23+C24)*(POWER((1+F26),'数据-取费表'!B24/2)-1)),0)</f>
        <v>3039</v>
      </c>
      <c r="D28" s="471"/>
      <c r="E28" s="472"/>
      <c r="F28" s="473"/>
      <c r="G28" s="2594" t="str">
        <f>IF('数据-取费表'!B22&lt;=1,"（1）-（4）项×年利率×建设期÷2","（1）-（4）项×((1+年利率)^(建设期÷2)-1)")</f>
        <v>（1）-（4）项×((1+年利率)^(建设期÷2)-1)</v>
      </c>
      <c r="H28" s="2837"/>
      <c r="I28" s="2837"/>
      <c r="J28" s="2837"/>
      <c r="K28" s="278"/>
    </row>
    <row r="29" spans="1:14" s="2118" customFormat="1" ht="13.5" customHeight="1">
      <c r="A29" s="2883" t="s">
        <v>1859</v>
      </c>
      <c r="B29" s="2873" t="s">
        <v>493</v>
      </c>
      <c r="C29" s="2874">
        <f ca="1">ROUND(C6*F29/(1+'数据-取费表'!C42),0)</f>
        <v>12860</v>
      </c>
      <c r="D29" s="467"/>
      <c r="E29" s="467"/>
      <c r="F29" s="3056">
        <f>'数据-取费表'!B41</f>
        <v>5.5000000000000007E-2</v>
      </c>
      <c r="G29" s="2843" t="s">
        <v>494</v>
      </c>
      <c r="H29" s="2835"/>
      <c r="I29" s="2835"/>
      <c r="J29" s="2835"/>
      <c r="K29" s="2836"/>
    </row>
    <row r="30" spans="1:14" s="2119" customFormat="1" ht="13.5" customHeight="1">
      <c r="A30" s="1632" t="s">
        <v>1860</v>
      </c>
      <c r="B30" s="2884" t="s">
        <v>496</v>
      </c>
      <c r="C30" s="2879">
        <f ca="1">C31</f>
        <v>79883</v>
      </c>
      <c r="D30" s="476">
        <f ca="1">C32</f>
        <v>0.12909999999999999</v>
      </c>
      <c r="E30" s="468" t="s">
        <v>491</v>
      </c>
      <c r="F30" s="470"/>
      <c r="G30" s="2842" t="s">
        <v>2974</v>
      </c>
      <c r="H30" s="2835"/>
      <c r="I30" s="2835"/>
      <c r="J30" s="2835"/>
      <c r="K30" s="2836"/>
    </row>
    <row r="31" spans="1:14" s="2118" customFormat="1" ht="13.5" customHeight="1">
      <c r="A31" s="802" t="s">
        <v>1853</v>
      </c>
      <c r="B31" s="2880"/>
      <c r="C31" s="449">
        <f ca="1">C18+C19+C20+C23+C24+C26+C29</f>
        <v>79883</v>
      </c>
      <c r="D31" s="471"/>
      <c r="E31" s="472"/>
      <c r="F31" s="473"/>
      <c r="G31" s="260"/>
      <c r="H31" s="2837"/>
      <c r="I31" s="2837"/>
      <c r="J31" s="2837"/>
      <c r="K31" s="278"/>
    </row>
    <row r="32" spans="1:14" s="2118" customFormat="1" ht="13.5" customHeight="1">
      <c r="A32" s="802" t="s">
        <v>1854</v>
      </c>
      <c r="B32" s="2880"/>
      <c r="C32" s="53">
        <f ca="1">ROUND(C25+D26,4)</f>
        <v>0.12909999999999999</v>
      </c>
      <c r="D32" s="471"/>
      <c r="E32" s="472"/>
      <c r="F32" s="473"/>
      <c r="G32" s="260"/>
      <c r="H32" s="2837"/>
      <c r="I32" s="2837"/>
      <c r="J32" s="2837"/>
      <c r="K32" s="278"/>
    </row>
    <row r="33" spans="1:11" s="2120" customFormat="1" ht="13.5" customHeight="1">
      <c r="A33" s="3053" t="s">
        <v>2833</v>
      </c>
      <c r="B33" s="3051" t="s">
        <v>2831</v>
      </c>
      <c r="C33" s="477">
        <f ca="1">C35</f>
        <v>5119</v>
      </c>
      <c r="D33" s="466">
        <f ca="1">C34</f>
        <v>8.2299999999999998E-2</v>
      </c>
      <c r="E33" s="468" t="s">
        <v>491</v>
      </c>
      <c r="F33" s="478">
        <f ca="1">IF(B1="",'数据-取费表'!Q16,INDIRECT("'数据-取费表'!q"&amp;$K$1))</f>
        <v>0.08</v>
      </c>
      <c r="G33" s="2838"/>
      <c r="H33" s="2839"/>
      <c r="I33" s="2839"/>
      <c r="J33" s="2839"/>
      <c r="K33" s="2840"/>
    </row>
    <row r="34" spans="1:11" s="2121" customFormat="1" ht="13.5" customHeight="1">
      <c r="A34" s="374" t="s">
        <v>1853</v>
      </c>
      <c r="B34" s="2885" t="s">
        <v>497</v>
      </c>
      <c r="C34" s="471">
        <f ca="1">ROUND((1+C25)*F33,4)</f>
        <v>8.2299999999999998E-2</v>
      </c>
      <c r="D34" s="471"/>
      <c r="E34" s="472"/>
      <c r="F34" s="479"/>
      <c r="G34" s="260" t="s">
        <v>2289</v>
      </c>
      <c r="H34" s="2837"/>
      <c r="I34" s="2837"/>
      <c r="J34" s="2837"/>
      <c r="K34" s="278"/>
    </row>
    <row r="35" spans="1:11" s="2121" customFormat="1" ht="13.5" customHeight="1" thickBot="1">
      <c r="A35" s="1633" t="s">
        <v>1854</v>
      </c>
      <c r="B35" s="3052" t="s">
        <v>2839</v>
      </c>
      <c r="C35" s="1625">
        <f ca="1">ROUND((C18+C19+C20+C23+C24)*F33,0)</f>
        <v>5119</v>
      </c>
      <c r="D35" s="1626"/>
      <c r="E35" s="2886"/>
      <c r="F35" s="1627"/>
      <c r="G35" s="2844"/>
      <c r="H35" s="2845"/>
      <c r="I35" s="2845"/>
      <c r="J35" s="2845"/>
      <c r="K35" s="2846"/>
    </row>
    <row r="36" spans="1:11" s="2083" customFormat="1" ht="13.5" customHeight="1" thickBot="1">
      <c r="A36" s="283" t="s">
        <v>1841</v>
      </c>
      <c r="B36" s="2848"/>
      <c r="C36" s="2887">
        <f ca="1">ROUND((C6-C30-C33)/(1+D30+D33),0)</f>
        <v>132493</v>
      </c>
      <c r="D36" s="2848"/>
      <c r="E36" s="2848"/>
      <c r="F36" s="2848"/>
      <c r="G36" s="2847" t="s">
        <v>2840</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462</v>
      </c>
      <c r="B1" s="2831"/>
      <c r="C1" s="2102"/>
      <c r="D1" s="2102"/>
      <c r="E1" s="2102"/>
      <c r="F1" s="2102"/>
      <c r="G1" s="2102"/>
      <c r="H1" s="2102"/>
      <c r="I1" s="2102"/>
      <c r="J1" s="2102"/>
      <c r="K1" s="421">
        <f>MATCH(B1,'数据-取费表'!A6:A16,0)+5</f>
        <v>11</v>
      </c>
    </row>
    <row r="2" spans="1:41" s="2039" customFormat="1" ht="18" customHeight="1">
      <c r="A2" s="422" t="s">
        <v>463</v>
      </c>
      <c r="B2" s="423">
        <f ca="1">C32</f>
        <v>0</v>
      </c>
      <c r="C2" s="2102"/>
      <c r="D2" s="2102"/>
      <c r="E2" s="2102"/>
      <c r="F2" s="2102"/>
      <c r="G2" s="2102"/>
      <c r="H2" s="2102"/>
      <c r="I2" s="2102"/>
      <c r="J2" s="2102"/>
      <c r="K2" s="2102"/>
    </row>
    <row r="3" spans="1:41" s="2039" customFormat="1" ht="18" customHeight="1">
      <c r="A3" s="1376" t="s">
        <v>1681</v>
      </c>
      <c r="B3" s="424">
        <f ca="1">ROUND(B2*10000/IF(B1="",'数据-汇总表'!E3,INDIRECT("'数据-取费表'!K"&amp;$K$1)),0)</f>
        <v>0</v>
      </c>
      <c r="C3" s="2102"/>
      <c r="D3" s="2102"/>
      <c r="E3" s="2102"/>
      <c r="F3" s="2102"/>
      <c r="G3" s="2102"/>
      <c r="H3" s="2102"/>
      <c r="I3" s="2102"/>
      <c r="J3" s="2102"/>
      <c r="K3" s="2102"/>
    </row>
    <row r="4" spans="1:41" s="2039" customFormat="1" ht="18" customHeight="1">
      <c r="A4" s="425" t="s">
        <v>464</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465</v>
      </c>
      <c r="D5" s="2102"/>
      <c r="E5" s="2102"/>
      <c r="F5" s="2102"/>
      <c r="G5" s="2102"/>
      <c r="H5" s="2102"/>
      <c r="I5" s="2102"/>
      <c r="J5" s="2102"/>
      <c r="K5" s="2102"/>
    </row>
    <row r="6" spans="1:41" s="2109" customFormat="1" ht="16.5" customHeight="1">
      <c r="A6" s="431" t="s">
        <v>2652</v>
      </c>
      <c r="B6" s="432"/>
      <c r="C6" s="1620">
        <f>SUM(C10:K10)</f>
        <v>0</v>
      </c>
      <c r="D6" s="2107"/>
      <c r="E6" s="2107"/>
      <c r="F6" s="2107"/>
      <c r="G6" s="2107"/>
      <c r="H6" s="2107"/>
      <c r="I6" s="2107"/>
      <c r="J6" s="2107"/>
      <c r="K6" s="2108"/>
    </row>
    <row r="7" spans="1:41" s="2111" customFormat="1" ht="15">
      <c r="A7" s="433" t="s">
        <v>466</v>
      </c>
      <c r="B7" s="434" t="s">
        <v>467</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28" t="s">
        <v>1842</v>
      </c>
      <c r="B8" s="437" t="s">
        <v>468</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28"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29" t="s">
        <v>1844</v>
      </c>
      <c r="B10" s="1621" t="s">
        <v>470</v>
      </c>
      <c r="C10" s="1622"/>
      <c r="D10" s="1622"/>
      <c r="E10" s="1622"/>
      <c r="F10" s="1623"/>
      <c r="G10" s="1623"/>
      <c r="H10" s="1623"/>
      <c r="I10" s="1623"/>
      <c r="J10" s="1623"/>
      <c r="K10" s="1624"/>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17" t="s">
        <v>1861</v>
      </c>
      <c r="B11" s="1618"/>
      <c r="C11" s="1618"/>
      <c r="D11" s="1618"/>
      <c r="E11" s="1618"/>
      <c r="F11" s="1618"/>
      <c r="G11" s="1618"/>
      <c r="H11" s="1618"/>
      <c r="I11" s="1618"/>
      <c r="J11" s="1618"/>
      <c r="K11" s="1619"/>
    </row>
    <row r="12" spans="1:41" s="2083" customFormat="1" ht="13.5" customHeight="1">
      <c r="A12" s="433" t="s">
        <v>466</v>
      </c>
      <c r="B12" s="443" t="s">
        <v>467</v>
      </c>
      <c r="C12" s="444" t="s">
        <v>471</v>
      </c>
      <c r="D12" s="445" t="s">
        <v>472</v>
      </c>
      <c r="E12" s="445" t="s">
        <v>473</v>
      </c>
      <c r="F12" s="445" t="s">
        <v>474</v>
      </c>
      <c r="G12" s="443"/>
      <c r="H12" s="446"/>
      <c r="I12" s="446"/>
      <c r="J12" s="446"/>
      <c r="K12" s="447"/>
    </row>
    <row r="13" spans="1:41" s="2114" customFormat="1" ht="13.5" customHeight="1">
      <c r="A13" s="1630" t="s">
        <v>1845</v>
      </c>
      <c r="B13" s="448" t="s">
        <v>475</v>
      </c>
      <c r="C13" s="449">
        <f ca="1">IF(B1="",'数据-取费表'!M16,INDIRECT("'数据-取费表'!M"&amp;$K$1)+INDIRECT("'数据-取费表'!t"&amp;$K$1))</f>
        <v>47287</v>
      </c>
      <c r="D13" s="450"/>
      <c r="E13" s="364"/>
      <c r="F13" s="451"/>
      <c r="G13" s="443"/>
      <c r="H13" s="446"/>
      <c r="I13" s="446"/>
      <c r="J13" s="446"/>
      <c r="K13" s="447"/>
    </row>
    <row r="14" spans="1:41" s="2114" customFormat="1" ht="13.5" customHeight="1">
      <c r="A14" s="1630" t="s">
        <v>1846</v>
      </c>
      <c r="B14" s="448" t="s">
        <v>476</v>
      </c>
      <c r="C14" s="53">
        <f ca="1">ROUND(C13*F14,0)</f>
        <v>1419</v>
      </c>
      <c r="D14" s="450"/>
      <c r="E14" s="364"/>
      <c r="F14" s="452">
        <f>'数据-取费表'!B33</f>
        <v>0.03</v>
      </c>
      <c r="G14" s="443" t="s">
        <v>498</v>
      </c>
      <c r="H14" s="446"/>
      <c r="I14" s="446"/>
      <c r="J14" s="446"/>
      <c r="K14" s="447"/>
    </row>
    <row r="15" spans="1:41" s="2114" customFormat="1" ht="13.5" customHeight="1">
      <c r="A15" s="1630" t="s">
        <v>1847</v>
      </c>
      <c r="B15" s="448" t="s">
        <v>478</v>
      </c>
      <c r="C15" s="53">
        <f ca="1">ROUND(IF(B1="",SUMIF('数据-取费表'!C:C,"住宅",'数据-取费表'!M:M)*F15,IF(INDIRECT("'数据-取费表'!c"&amp;$K$1)="住宅",INDIRECT("'数据-取费表'!M"&amp;$K$1)*F15,0)),0)</f>
        <v>1241</v>
      </c>
      <c r="D15" s="450"/>
      <c r="E15" s="364"/>
      <c r="F15" s="452">
        <f>'数据-取费表'!B34</f>
        <v>0.05</v>
      </c>
      <c r="G15" s="443" t="s">
        <v>498</v>
      </c>
      <c r="H15" s="446"/>
      <c r="I15" s="446"/>
      <c r="J15" s="446"/>
      <c r="K15" s="447"/>
    </row>
    <row r="16" spans="1:41" s="2115" customFormat="1" ht="13.5" customHeight="1">
      <c r="A16" s="1630" t="s">
        <v>1848</v>
      </c>
      <c r="B16" s="448" t="s">
        <v>480</v>
      </c>
      <c r="C16" s="53">
        <f ca="1">ROUND(D16*E16/10000,0)</f>
        <v>3275</v>
      </c>
      <c r="D16" s="450">
        <f ca="1">IF(B1="",'数据-汇总表'!E3,INDIRECT("'数据-取费表'!K"&amp;$K$1)+INDIRECT("'数据-取费表'!S"&amp;$K$1))</f>
        <v>181951.64</v>
      </c>
      <c r="E16" s="53">
        <f>'数据-取费表'!B35</f>
        <v>180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0" t="s">
        <v>1849</v>
      </c>
      <c r="B17" s="448" t="s">
        <v>481</v>
      </c>
      <c r="C17" s="453">
        <f ca="1">ROUND(C13*F17,0)</f>
        <v>709</v>
      </c>
      <c r="D17" s="454"/>
      <c r="E17" s="453"/>
      <c r="F17" s="455">
        <f>'数据-取费表'!B36</f>
        <v>1.4999999999999999E-2</v>
      </c>
      <c r="G17" s="443" t="s">
        <v>498</v>
      </c>
      <c r="H17" s="456"/>
      <c r="I17" s="456"/>
      <c r="J17" s="456"/>
      <c r="K17" s="457"/>
    </row>
    <row r="18" spans="1:14" s="2117" customFormat="1" ht="13.5" customHeight="1">
      <c r="A18" s="1631" t="s">
        <v>1850</v>
      </c>
      <c r="B18" s="458" t="s">
        <v>483</v>
      </c>
      <c r="C18" s="459">
        <f ca="1">SUM(C13:C17)</f>
        <v>53931</v>
      </c>
      <c r="D18" s="460"/>
      <c r="E18" s="461"/>
      <c r="F18" s="461"/>
      <c r="G18" s="1326" t="s">
        <v>2432</v>
      </c>
      <c r="H18" s="446"/>
      <c r="I18" s="446"/>
      <c r="J18" s="446"/>
      <c r="K18" s="447"/>
    </row>
    <row r="19" spans="1:14" s="2117" customFormat="1" ht="13.5" customHeight="1">
      <c r="A19" s="1631" t="s">
        <v>1851</v>
      </c>
      <c r="B19" s="458" t="s">
        <v>489</v>
      </c>
      <c r="C19" s="459">
        <f ca="1">ROUND(C18*F19,0)</f>
        <v>1079</v>
      </c>
      <c r="D19" s="461"/>
      <c r="E19" s="461"/>
      <c r="F19" s="465">
        <f>'数据-取费表'!B37</f>
        <v>0.02</v>
      </c>
      <c r="G19" s="443" t="s">
        <v>499</v>
      </c>
      <c r="H19" s="446"/>
      <c r="I19" s="446"/>
      <c r="J19" s="446"/>
      <c r="K19" s="447"/>
      <c r="L19" s="2119"/>
      <c r="M19" s="2119"/>
      <c r="N19" s="2119"/>
    </row>
    <row r="20" spans="1:14" s="2117" customFormat="1" ht="13.5" customHeight="1">
      <c r="A20" s="1631" t="s">
        <v>1852</v>
      </c>
      <c r="B20" s="458" t="s">
        <v>500</v>
      </c>
      <c r="C20" s="3049">
        <f>F20</f>
        <v>0.02</v>
      </c>
      <c r="D20" s="468" t="s">
        <v>501</v>
      </c>
      <c r="E20" s="468"/>
      <c r="F20" s="485">
        <f>'数据-取费表'!B38</f>
        <v>0.02</v>
      </c>
      <c r="G20" s="1326" t="s">
        <v>502</v>
      </c>
      <c r="H20" s="446"/>
      <c r="I20" s="446"/>
      <c r="J20" s="446"/>
      <c r="K20" s="447"/>
      <c r="L20" s="2119"/>
      <c r="M20" s="2119"/>
      <c r="N20" s="2119"/>
    </row>
    <row r="21" spans="1:14" s="2119" customFormat="1" ht="13.5" customHeight="1">
      <c r="A21" s="1631" t="s">
        <v>1855</v>
      </c>
      <c r="B21" s="460" t="s">
        <v>490</v>
      </c>
      <c r="C21" s="469">
        <f ca="1">C22</f>
        <v>2613</v>
      </c>
      <c r="D21" s="466">
        <f ca="1">C23</f>
        <v>1E-3</v>
      </c>
      <c r="E21" s="468" t="s">
        <v>503</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2454</v>
      </c>
    </row>
    <row r="22" spans="1:14" s="2118" customFormat="1" ht="13.5" customHeight="1">
      <c r="A22" s="1630" t="s">
        <v>1845</v>
      </c>
      <c r="B22" s="1327" t="s">
        <v>2435</v>
      </c>
      <c r="C22" s="486">
        <f ca="1">ROUND(IF('数据-取费表'!B22&lt;=1,(C18+C19)*F21*'数据-取费表'!B20/2,(C18+C19)*(POWER((1+F21),'数据-取费表'!B20/2)-1)),0)</f>
        <v>2613</v>
      </c>
      <c r="D22" s="471"/>
      <c r="E22" s="472"/>
      <c r="F22" s="473"/>
      <c r="G22" s="2589" t="str">
        <f>IF('数据-取费表'!B22&lt;=1,"((1)+(2))×年利率×建设期÷2","((1)+(2))×((1+年利率)^(建设期÷2)-1)")</f>
        <v>((1)+(2))×((1+年利率)^(建设期÷2)-1)</v>
      </c>
      <c r="H22" s="456"/>
      <c r="I22" s="456"/>
      <c r="J22" s="456"/>
      <c r="K22" s="457"/>
    </row>
    <row r="23" spans="1:14" s="2118" customFormat="1" ht="13.5" customHeight="1">
      <c r="A23" s="1630" t="s">
        <v>1846</v>
      </c>
      <c r="B23" s="1327" t="s">
        <v>504</v>
      </c>
      <c r="C23" s="487">
        <f ca="1">ROUND(IF('数据-取费表'!B22&lt;=1,F20*F21*'数据-取费表'!B20/2,F20*(POWER((1+F21),'数据-取费表'!B20/2)-1)),4)</f>
        <v>1E-3</v>
      </c>
      <c r="D23" s="471"/>
      <c r="E23" s="472"/>
      <c r="F23" s="473"/>
      <c r="G23" s="2589" t="str">
        <f>IF('数据-取费表'!B22&lt;=1,"销售费用率×年利率×建设期÷2","销售费用率×((1+年利率)^(建设期÷2)-1)")</f>
        <v>销售费用率×((1+年利率)^(建设期÷2)-1)</v>
      </c>
      <c r="H23" s="456"/>
      <c r="I23" s="456"/>
      <c r="J23" s="456"/>
      <c r="K23" s="457"/>
    </row>
    <row r="24" spans="1:14" s="2118" customFormat="1" ht="13.5" customHeight="1">
      <c r="A24" s="1631" t="s">
        <v>1856</v>
      </c>
      <c r="B24" s="3051" t="s">
        <v>2832</v>
      </c>
      <c r="C24" s="477">
        <f ca="1">C25</f>
        <v>4401</v>
      </c>
      <c r="D24" s="488">
        <f ca="1">C26</f>
        <v>1.6000000000000001E-3</v>
      </c>
      <c r="E24" s="468" t="s">
        <v>503</v>
      </c>
      <c r="F24" s="478">
        <f ca="1">IF(B1="",'数据-取费表'!Q16,INDIRECT("'数据-取费表'!q"&amp;$K$1))</f>
        <v>0.08</v>
      </c>
      <c r="G24" s="443"/>
      <c r="H24" s="446"/>
      <c r="I24" s="446"/>
      <c r="J24" s="446"/>
      <c r="K24" s="447"/>
    </row>
    <row r="25" spans="1:14" s="2118" customFormat="1" ht="13.5" customHeight="1">
      <c r="A25" s="1630" t="s">
        <v>1845</v>
      </c>
      <c r="B25" s="1327" t="s">
        <v>2436</v>
      </c>
      <c r="C25" s="489">
        <f ca="1">ROUND((C18+C19)*F24,0)</f>
        <v>4401</v>
      </c>
      <c r="D25" s="471"/>
      <c r="E25" s="472"/>
      <c r="F25" s="479"/>
      <c r="G25" s="1325" t="s">
        <v>2433</v>
      </c>
      <c r="H25" s="456"/>
      <c r="I25" s="456"/>
      <c r="J25" s="456"/>
      <c r="K25" s="457"/>
    </row>
    <row r="26" spans="1:14" s="2118" customFormat="1" ht="13.5" customHeight="1">
      <c r="A26" s="1630" t="s">
        <v>1846</v>
      </c>
      <c r="B26" s="1327" t="s">
        <v>505</v>
      </c>
      <c r="C26" s="490">
        <f ca="1">ROUND(F20*F24,4)</f>
        <v>1.6000000000000001E-3</v>
      </c>
      <c r="D26" s="471"/>
      <c r="E26" s="480"/>
      <c r="F26" s="479"/>
      <c r="G26" s="1325" t="s">
        <v>506</v>
      </c>
      <c r="H26" s="456"/>
      <c r="I26" s="456"/>
      <c r="J26" s="456"/>
      <c r="K26" s="457"/>
    </row>
    <row r="27" spans="1:14" s="2118" customFormat="1" ht="13.5" customHeight="1">
      <c r="A27" s="1634" t="s">
        <v>1864</v>
      </c>
      <c r="B27" s="458" t="s">
        <v>507</v>
      </c>
      <c r="C27" s="3050">
        <f>ROUND(F27/(1+'数据-取费表'!C42),4)</f>
        <v>5.2400000000000002E-2</v>
      </c>
      <c r="D27" s="461" t="s">
        <v>2830</v>
      </c>
      <c r="E27" s="461"/>
      <c r="F27" s="465">
        <f>'数据-取费表'!B41</f>
        <v>5.5000000000000007E-2</v>
      </c>
      <c r="G27" s="1958" t="s">
        <v>2290</v>
      </c>
      <c r="H27" s="446"/>
      <c r="I27" s="446"/>
      <c r="J27" s="446"/>
      <c r="K27" s="447"/>
    </row>
    <row r="28" spans="1:14" s="2119" customFormat="1" ht="13.5" customHeight="1">
      <c r="A28" s="1634" t="s">
        <v>1865</v>
      </c>
      <c r="B28" s="475" t="s">
        <v>508</v>
      </c>
      <c r="C28" s="469">
        <f ca="1">ROUND((C18+C19+C21+C24)/(1-C20-D21-D24-C27),0)</f>
        <v>67053</v>
      </c>
      <c r="D28" s="476"/>
      <c r="E28" s="468"/>
      <c r="F28" s="470"/>
      <c r="G28" s="1326" t="s">
        <v>2434</v>
      </c>
      <c r="H28" s="446"/>
      <c r="I28" s="446"/>
      <c r="J28" s="446"/>
      <c r="K28" s="447"/>
    </row>
    <row r="29" spans="1:14" s="2119" customFormat="1" ht="13.5" customHeight="1">
      <c r="A29" s="1634" t="s">
        <v>1866</v>
      </c>
      <c r="B29" s="475" t="s">
        <v>509</v>
      </c>
      <c r="C29" s="491">
        <f ca="1">IF(B1="",'数据-取费表'!N16,INDIRECT("'数据-取费表'!N"&amp;$K$1))</f>
        <v>0</v>
      </c>
      <c r="D29" s="492"/>
      <c r="E29" s="493"/>
      <c r="F29" s="494"/>
      <c r="G29" s="443"/>
      <c r="H29" s="446"/>
      <c r="I29" s="446"/>
      <c r="J29" s="446"/>
      <c r="K29" s="447"/>
    </row>
    <row r="30" spans="1:14" s="2119" customFormat="1" ht="13.5" customHeight="1">
      <c r="A30" s="442">
        <v>2</v>
      </c>
      <c r="B30" s="475" t="s">
        <v>510</v>
      </c>
      <c r="C30" s="496">
        <f ca="1">ROUND(C28*C29,0)</f>
        <v>0</v>
      </c>
      <c r="D30" s="492"/>
      <c r="E30" s="497"/>
      <c r="F30" s="498"/>
      <c r="G30" s="1328" t="s">
        <v>511</v>
      </c>
      <c r="H30" s="495"/>
      <c r="I30" s="495"/>
      <c r="J30" s="446"/>
      <c r="K30" s="447"/>
    </row>
    <row r="31" spans="1:14" s="2124" customFormat="1" ht="13.5" customHeight="1">
      <c r="A31" s="2504" t="s">
        <v>1862</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5" t="s">
        <v>2975</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512</v>
      </c>
      <c r="B1" s="502"/>
      <c r="C1" s="503" t="s">
        <v>593</v>
      </c>
      <c r="D1" s="504" t="s">
        <v>514</v>
      </c>
      <c r="E1" s="736"/>
      <c r="F1" s="737"/>
      <c r="G1" s="736"/>
      <c r="H1" s="736"/>
      <c r="I1" s="736"/>
      <c r="J1" s="736"/>
      <c r="K1" s="738"/>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507" t="e">
        <f>F63</f>
        <v>#DIV/0!</v>
      </c>
      <c r="C2" s="2126"/>
      <c r="D2" s="2126"/>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c r="A3" s="1377" t="s">
        <v>1682</v>
      </c>
      <c r="B3" s="509" t="e">
        <f>ROUND(B2*10000/'数据-汇总表'!E3,0)</f>
        <v>#DIV/0!</v>
      </c>
      <c r="C3" s="2059"/>
      <c r="D3" s="2059"/>
      <c r="E3" s="2059"/>
      <c r="F3" s="2059"/>
      <c r="G3" s="2126"/>
      <c r="H3" s="2126"/>
      <c r="I3" s="2126"/>
      <c r="J3" s="2126"/>
      <c r="K3" s="2128"/>
      <c r="L3" s="2129"/>
      <c r="M3" s="2130"/>
      <c r="N3" s="2130"/>
      <c r="O3" s="2130"/>
      <c r="P3" s="1561"/>
      <c r="Q3" s="1561"/>
      <c r="R3" s="1561"/>
      <c r="S3" s="1561"/>
      <c r="T3" s="1561"/>
      <c r="U3" s="1561"/>
      <c r="V3" s="1561"/>
      <c r="W3" s="1561"/>
      <c r="X3" s="1561"/>
      <c r="Y3" s="1561"/>
      <c r="Z3" s="1561"/>
      <c r="AA3" s="1561"/>
      <c r="AB3" s="427"/>
      <c r="AC3" s="427"/>
    </row>
    <row r="4" spans="1:29" s="1335" customFormat="1" ht="28.5" customHeight="1">
      <c r="A4" s="510" t="s">
        <v>516</v>
      </c>
      <c r="B4" s="426" t="e">
        <f>IF(B43="单位面积地价",C45,ROUND(B2*10000/'数据-汇总表'!D3,0))</f>
        <v>#DIV/0!</v>
      </c>
      <c r="C4" s="2059"/>
      <c r="D4" s="2059"/>
      <c r="E4" s="2059"/>
      <c r="F4" s="2059"/>
      <c r="G4" s="2126"/>
      <c r="H4" s="2126"/>
      <c r="I4" s="2126"/>
      <c r="J4" s="2126"/>
      <c r="K4" s="2128"/>
      <c r="L4" s="2129"/>
      <c r="M4" s="2130"/>
      <c r="N4" s="2130"/>
      <c r="O4" s="2130"/>
      <c r="P4" s="1561"/>
      <c r="Q4" s="1561"/>
      <c r="R4" s="1561"/>
      <c r="S4" s="1561"/>
      <c r="T4" s="1561"/>
      <c r="U4" s="1561"/>
      <c r="V4" s="1561"/>
      <c r="W4" s="1561"/>
      <c r="X4" s="1561"/>
      <c r="Y4" s="1561"/>
      <c r="Z4" s="1561"/>
      <c r="AA4" s="1561"/>
      <c r="AB4" s="1561"/>
      <c r="AC4" s="427"/>
    </row>
    <row r="5" spans="1:29" s="1335" customFormat="1" ht="28.5" customHeight="1" thickBot="1">
      <c r="A5" s="428"/>
      <c r="B5" s="429" t="e">
        <f>ROUND(B2/('数据-汇总表'!D3/666.67),0)</f>
        <v>#DIV/0!</v>
      </c>
      <c r="C5" s="430" t="s">
        <v>465</v>
      </c>
      <c r="D5" s="2059"/>
      <c r="E5" s="2059"/>
      <c r="F5" s="2059"/>
      <c r="G5" s="2126"/>
      <c r="H5" s="2126"/>
      <c r="I5" s="2126"/>
      <c r="J5" s="2126"/>
      <c r="K5" s="2128"/>
      <c r="L5" s="2129"/>
      <c r="M5" s="2130"/>
      <c r="N5" s="2130"/>
      <c r="O5" s="2130"/>
      <c r="P5" s="1561"/>
      <c r="Q5" s="1561"/>
      <c r="R5" s="1561"/>
      <c r="S5" s="1561"/>
      <c r="T5" s="1561"/>
      <c r="U5" s="1561"/>
      <c r="V5" s="1561"/>
      <c r="W5" s="1561"/>
      <c r="X5" s="1561"/>
      <c r="Y5" s="1561"/>
      <c r="Z5" s="1561"/>
      <c r="AA5" s="1561"/>
      <c r="AB5" s="1563"/>
      <c r="AC5" s="427"/>
    </row>
    <row r="6" spans="1:29" ht="15">
      <c r="A6" s="511" t="s">
        <v>517</v>
      </c>
      <c r="B6" s="512"/>
      <c r="C6" s="3432" t="s">
        <v>518</v>
      </c>
      <c r="D6" s="3433"/>
      <c r="E6" s="3466" t="s">
        <v>519</v>
      </c>
      <c r="F6" s="3467"/>
      <c r="G6" s="3432" t="s">
        <v>520</v>
      </c>
      <c r="H6" s="3433"/>
      <c r="I6" s="3432" t="s">
        <v>521</v>
      </c>
      <c r="J6" s="3433"/>
      <c r="K6" s="513" t="s">
        <v>522</v>
      </c>
      <c r="L6" s="2131"/>
      <c r="M6" s="2132"/>
      <c r="N6" s="2132"/>
      <c r="O6" s="2132"/>
      <c r="P6" s="3434" t="s">
        <v>523</v>
      </c>
      <c r="Q6" s="3435"/>
      <c r="R6" s="3440" t="s">
        <v>519</v>
      </c>
      <c r="S6" s="3441"/>
      <c r="T6" s="3440" t="s">
        <v>520</v>
      </c>
      <c r="U6" s="3441"/>
      <c r="V6" s="3427" t="s">
        <v>521</v>
      </c>
      <c r="W6" s="3427"/>
      <c r="X6" s="1564"/>
      <c r="Y6" s="3440" t="s">
        <v>523</v>
      </c>
      <c r="Z6" s="3441"/>
      <c r="AA6" s="3429" t="s">
        <v>519</v>
      </c>
      <c r="AB6" s="3430" t="s">
        <v>520</v>
      </c>
      <c r="AC6" s="3429" t="s">
        <v>521</v>
      </c>
    </row>
    <row r="7" spans="1:29" ht="15">
      <c r="A7" s="514"/>
      <c r="B7" s="515"/>
      <c r="C7" s="3448" t="s">
        <v>2928</v>
      </c>
      <c r="D7" s="3449"/>
      <c r="E7" s="3468" t="s">
        <v>2929</v>
      </c>
      <c r="F7" s="3469"/>
      <c r="G7" s="3448" t="s">
        <v>2930</v>
      </c>
      <c r="H7" s="3449"/>
      <c r="I7" s="3448" t="s">
        <v>2931</v>
      </c>
      <c r="J7" s="3449"/>
      <c r="K7" s="513"/>
      <c r="L7" s="2131"/>
      <c r="M7" s="2132"/>
      <c r="N7" s="2132"/>
      <c r="O7" s="2132"/>
      <c r="P7" s="3436"/>
      <c r="Q7" s="3437"/>
      <c r="R7" s="3442"/>
      <c r="S7" s="3443"/>
      <c r="T7" s="3442"/>
      <c r="U7" s="3443"/>
      <c r="V7" s="3427"/>
      <c r="W7" s="3427"/>
      <c r="X7" s="1564"/>
      <c r="Y7" s="3442"/>
      <c r="Z7" s="3443"/>
      <c r="AA7" s="3430"/>
      <c r="AB7" s="3430"/>
      <c r="AC7" s="3430"/>
    </row>
    <row r="8" spans="1:29" ht="15.75" thickBot="1">
      <c r="A8" s="516"/>
      <c r="B8" s="517"/>
      <c r="C8" s="3446" t="s">
        <v>2932</v>
      </c>
      <c r="D8" s="3447"/>
      <c r="E8" s="3464" t="s">
        <v>2932</v>
      </c>
      <c r="F8" s="3465"/>
      <c r="G8" s="3446" t="s">
        <v>2932</v>
      </c>
      <c r="H8" s="3447"/>
      <c r="I8" s="3446" t="s">
        <v>2932</v>
      </c>
      <c r="J8" s="3447"/>
      <c r="K8" s="513" t="s">
        <v>524</v>
      </c>
      <c r="L8" s="2131"/>
      <c r="M8" s="2132"/>
      <c r="N8" s="2132"/>
      <c r="O8" s="2132"/>
      <c r="P8" s="3438"/>
      <c r="Q8" s="3439"/>
      <c r="R8" s="3442"/>
      <c r="S8" s="3443"/>
      <c r="T8" s="3444"/>
      <c r="U8" s="3445"/>
      <c r="V8" s="3427"/>
      <c r="W8" s="3427"/>
      <c r="X8" s="1564"/>
      <c r="Y8" s="3444"/>
      <c r="Z8" s="3445"/>
      <c r="AA8" s="3431"/>
      <c r="AB8" s="3431"/>
      <c r="AC8" s="3431"/>
    </row>
    <row r="9" spans="1:29" s="1219" customFormat="1" ht="15.75" thickBot="1">
      <c r="A9" s="2934"/>
      <c r="B9" s="2941" t="s">
        <v>525</v>
      </c>
      <c r="C9" s="518">
        <f>'数据-取费表'!B2</f>
        <v>43234</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57" t="s">
        <v>526</v>
      </c>
      <c r="Q9" s="3459"/>
      <c r="R9" s="1565" t="s">
        <v>8</v>
      </c>
      <c r="S9" s="1566">
        <f t="shared" ref="S9:S17" si="0">F9</f>
        <v>0</v>
      </c>
      <c r="T9" s="1565" t="s">
        <v>8</v>
      </c>
      <c r="U9" s="1566">
        <f t="shared" ref="U9:U17" si="1">H9</f>
        <v>0</v>
      </c>
      <c r="V9" s="1565" t="s">
        <v>8</v>
      </c>
      <c r="W9" s="1566">
        <f t="shared" ref="W9:W17" si="2">J9</f>
        <v>0</v>
      </c>
      <c r="X9" s="1567"/>
      <c r="Y9" s="3457" t="s">
        <v>526</v>
      </c>
      <c r="Z9" s="3458"/>
      <c r="AA9" s="1568" t="e">
        <f>D9/F9</f>
        <v>#DIV/0!</v>
      </c>
      <c r="AB9" s="1568" t="e">
        <f>D9/H9</f>
        <v>#DIV/0!</v>
      </c>
      <c r="AC9" s="1568" t="e">
        <f>D9/J9</f>
        <v>#DIV/0!</v>
      </c>
    </row>
    <row r="10" spans="1:29" s="1219" customFormat="1" ht="15.75" thickBot="1">
      <c r="A10" s="2935"/>
      <c r="B10" s="2942"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57" t="s">
        <v>529</v>
      </c>
      <c r="Q10" s="3458"/>
      <c r="R10" s="1565" t="s">
        <v>8</v>
      </c>
      <c r="S10" s="1566">
        <f t="shared" si="0"/>
        <v>0</v>
      </c>
      <c r="T10" s="1565" t="s">
        <v>8</v>
      </c>
      <c r="U10" s="1566">
        <f t="shared" si="1"/>
        <v>0</v>
      </c>
      <c r="V10" s="1565" t="s">
        <v>8</v>
      </c>
      <c r="W10" s="1566">
        <f t="shared" si="2"/>
        <v>0</v>
      </c>
      <c r="X10" s="1567"/>
      <c r="Y10" s="3457" t="s">
        <v>529</v>
      </c>
      <c r="Z10" s="3458"/>
      <c r="AA10" s="1568" t="e">
        <f t="shared" ref="AA10:AA42" si="3">D10/F10</f>
        <v>#DIV/0!</v>
      </c>
      <c r="AB10" s="1568" t="e">
        <f t="shared" ref="AB10:AB42" si="4">D10/H10</f>
        <v>#DIV/0!</v>
      </c>
      <c r="AC10" s="1568" t="e">
        <f t="shared" ref="AC10:AC42" si="5">D10/J10</f>
        <v>#DIV/0!</v>
      </c>
    </row>
    <row r="11" spans="1:29" s="1219" customFormat="1" ht="15">
      <c r="A11" s="2936"/>
      <c r="B11" s="2943" t="s">
        <v>2756</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426" t="s">
        <v>531</v>
      </c>
      <c r="Q11" s="1150" t="str">
        <f t="shared" ref="Q11:Q17" si="6">B11</f>
        <v>用途</v>
      </c>
      <c r="R11" s="1565" t="s">
        <v>8</v>
      </c>
      <c r="S11" s="1566">
        <f t="shared" si="0"/>
        <v>100</v>
      </c>
      <c r="T11" s="1565" t="s">
        <v>8</v>
      </c>
      <c r="U11" s="1566">
        <f t="shared" si="1"/>
        <v>100</v>
      </c>
      <c r="V11" s="1565" t="s">
        <v>8</v>
      </c>
      <c r="W11" s="1566">
        <f t="shared" si="2"/>
        <v>100</v>
      </c>
      <c r="X11" s="1567"/>
      <c r="Y11" s="3372" t="s">
        <v>532</v>
      </c>
      <c r="Z11" s="1149" t="str">
        <f t="shared" ref="Z11:Z17" si="7">Q11</f>
        <v>用途</v>
      </c>
      <c r="AA11" s="1568">
        <f t="shared" si="3"/>
        <v>1</v>
      </c>
      <c r="AB11" s="1568">
        <f t="shared" si="4"/>
        <v>1</v>
      </c>
      <c r="AC11" s="1568">
        <f t="shared" si="5"/>
        <v>1</v>
      </c>
    </row>
    <row r="12" spans="1:29" s="1337" customFormat="1" ht="27">
      <c r="A12" s="2937"/>
      <c r="B12" s="2942" t="s">
        <v>2757</v>
      </c>
      <c r="C12" s="527"/>
      <c r="D12" s="254">
        <v>100</v>
      </c>
      <c r="E12" s="527"/>
      <c r="F12" s="254">
        <f>ROUND(100/'数据-取费表'!G16,0)</f>
        <v>100</v>
      </c>
      <c r="G12" s="527"/>
      <c r="H12" s="254">
        <f>ROUND(100/'数据-取费表'!G16,0)</f>
        <v>100</v>
      </c>
      <c r="I12" s="527"/>
      <c r="J12" s="254">
        <f>ROUND(100/'数据-取费表'!G16,0)</f>
        <v>100</v>
      </c>
      <c r="K12" s="530"/>
      <c r="L12" s="2136"/>
      <c r="M12" s="2176"/>
      <c r="N12" s="2176"/>
      <c r="O12" s="2137"/>
      <c r="P12" s="3426"/>
      <c r="Q12" s="1150" t="str">
        <f t="shared" si="6"/>
        <v>土地使用年限（年）</v>
      </c>
      <c r="R12" s="1565" t="s">
        <v>8</v>
      </c>
      <c r="S12" s="1566">
        <f t="shared" si="0"/>
        <v>100</v>
      </c>
      <c r="T12" s="1565" t="s">
        <v>8</v>
      </c>
      <c r="U12" s="1566">
        <f t="shared" si="1"/>
        <v>100</v>
      </c>
      <c r="V12" s="1565" t="s">
        <v>8</v>
      </c>
      <c r="W12" s="1566">
        <f t="shared" si="2"/>
        <v>100</v>
      </c>
      <c r="X12" s="1567"/>
      <c r="Y12" s="3372"/>
      <c r="Z12" s="1149" t="str">
        <f t="shared" si="7"/>
        <v>土地使用年限（年）</v>
      </c>
      <c r="AA12" s="1568">
        <f t="shared" si="3"/>
        <v>1</v>
      </c>
      <c r="AB12" s="1568">
        <f t="shared" si="4"/>
        <v>1</v>
      </c>
      <c r="AC12" s="1568">
        <f t="shared" si="5"/>
        <v>1</v>
      </c>
    </row>
    <row r="13" spans="1:29" ht="15">
      <c r="A13" s="2938"/>
      <c r="B13" s="2942"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426"/>
      <c r="Q13" s="1150" t="str">
        <f t="shared" si="6"/>
        <v>容积率</v>
      </c>
      <c r="R13" s="1565" t="s">
        <v>8</v>
      </c>
      <c r="S13" s="1566" t="e">
        <f t="shared" si="0"/>
        <v>#N/A</v>
      </c>
      <c r="T13" s="1565" t="s">
        <v>8</v>
      </c>
      <c r="U13" s="1566" t="e">
        <f t="shared" si="1"/>
        <v>#N/A</v>
      </c>
      <c r="V13" s="1565" t="s">
        <v>8</v>
      </c>
      <c r="W13" s="1566" t="e">
        <f t="shared" si="2"/>
        <v>#N/A</v>
      </c>
      <c r="X13" s="1567"/>
      <c r="Y13" s="3372"/>
      <c r="Z13" s="1149" t="str">
        <f t="shared" si="7"/>
        <v>容积率</v>
      </c>
      <c r="AA13" s="1568" t="e">
        <f t="shared" si="3"/>
        <v>#N/A</v>
      </c>
      <c r="AB13" s="1568" t="e">
        <f t="shared" si="4"/>
        <v>#N/A</v>
      </c>
      <c r="AC13" s="1568" t="e">
        <f t="shared" si="5"/>
        <v>#N/A</v>
      </c>
    </row>
    <row r="14" spans="1:29" s="1219" customFormat="1" ht="15">
      <c r="A14" s="2939"/>
      <c r="B14" s="2945">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426"/>
      <c r="Q14" s="1150">
        <f t="shared" si="6"/>
        <v>111</v>
      </c>
      <c r="R14" s="1565" t="s">
        <v>8</v>
      </c>
      <c r="S14" s="1566">
        <f t="shared" si="0"/>
        <v>100</v>
      </c>
      <c r="T14" s="1565" t="s">
        <v>8</v>
      </c>
      <c r="U14" s="1566">
        <f t="shared" si="1"/>
        <v>100</v>
      </c>
      <c r="V14" s="1565" t="s">
        <v>8</v>
      </c>
      <c r="W14" s="1566">
        <f t="shared" si="2"/>
        <v>100</v>
      </c>
      <c r="X14" s="1567"/>
      <c r="Y14" s="3372"/>
      <c r="Z14" s="1149">
        <f t="shared" si="7"/>
        <v>111</v>
      </c>
      <c r="AA14" s="1568">
        <f>D14/F14</f>
        <v>1</v>
      </c>
      <c r="AB14" s="1568">
        <f>D14/H14</f>
        <v>1</v>
      </c>
      <c r="AC14" s="1568">
        <f>D14/J14</f>
        <v>1</v>
      </c>
    </row>
    <row r="15" spans="1:29" ht="15">
      <c r="A15" s="2939"/>
      <c r="B15" s="2945">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426"/>
      <c r="Q15" s="1150">
        <f t="shared" si="6"/>
        <v>111</v>
      </c>
      <c r="R15" s="1565" t="s">
        <v>8</v>
      </c>
      <c r="S15" s="1566">
        <f t="shared" si="0"/>
        <v>100</v>
      </c>
      <c r="T15" s="1565" t="s">
        <v>8</v>
      </c>
      <c r="U15" s="1566">
        <f t="shared" si="1"/>
        <v>100</v>
      </c>
      <c r="V15" s="1565" t="s">
        <v>8</v>
      </c>
      <c r="W15" s="1566">
        <f t="shared" si="2"/>
        <v>100</v>
      </c>
      <c r="X15" s="1567"/>
      <c r="Y15" s="3372"/>
      <c r="Z15" s="1149">
        <f t="shared" si="7"/>
        <v>111</v>
      </c>
      <c r="AA15" s="1568">
        <f t="shared" si="3"/>
        <v>1</v>
      </c>
      <c r="AB15" s="1568">
        <f t="shared" si="4"/>
        <v>1</v>
      </c>
      <c r="AC15" s="1568">
        <f t="shared" si="5"/>
        <v>1</v>
      </c>
    </row>
    <row r="16" spans="1:29" ht="15.75" thickBot="1">
      <c r="A16" s="2940"/>
      <c r="B16" s="2946">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426"/>
      <c r="Q16" s="1150">
        <f t="shared" si="6"/>
        <v>111</v>
      </c>
      <c r="R16" s="1565" t="s">
        <v>8</v>
      </c>
      <c r="S16" s="1566">
        <f t="shared" si="0"/>
        <v>100</v>
      </c>
      <c r="T16" s="1565" t="s">
        <v>8</v>
      </c>
      <c r="U16" s="1566">
        <f t="shared" si="1"/>
        <v>100</v>
      </c>
      <c r="V16" s="1565" t="s">
        <v>8</v>
      </c>
      <c r="W16" s="1566">
        <f t="shared" si="2"/>
        <v>100</v>
      </c>
      <c r="X16" s="1567"/>
      <c r="Y16" s="3372"/>
      <c r="Z16" s="1149">
        <f t="shared" si="7"/>
        <v>111</v>
      </c>
      <c r="AA16" s="1568">
        <f t="shared" si="3"/>
        <v>1</v>
      </c>
      <c r="AB16" s="1568">
        <f t="shared" si="4"/>
        <v>1</v>
      </c>
      <c r="AC16" s="1568">
        <f t="shared" si="5"/>
        <v>1</v>
      </c>
    </row>
    <row r="17" spans="1:29" ht="57">
      <c r="A17" s="2932" t="s">
        <v>2754</v>
      </c>
      <c r="B17" s="166" t="s">
        <v>594</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60" t="s">
        <v>536</v>
      </c>
      <c r="Q17" s="1569" t="str">
        <f t="shared" si="6"/>
        <v>产业集聚程度</v>
      </c>
      <c r="R17" s="1570" t="s">
        <v>8</v>
      </c>
      <c r="S17" s="1571">
        <f t="shared" si="0"/>
        <v>100</v>
      </c>
      <c r="T17" s="1570" t="s">
        <v>8</v>
      </c>
      <c r="U17" s="1571">
        <f t="shared" si="1"/>
        <v>100</v>
      </c>
      <c r="V17" s="1570" t="s">
        <v>8</v>
      </c>
      <c r="W17" s="1571">
        <f t="shared" si="2"/>
        <v>100</v>
      </c>
      <c r="X17" s="1564"/>
      <c r="Y17" s="3460" t="s">
        <v>536</v>
      </c>
      <c r="Z17" s="1572" t="str">
        <f t="shared" si="7"/>
        <v>产业集聚程度</v>
      </c>
      <c r="AA17" s="1573">
        <f t="shared" si="3"/>
        <v>1</v>
      </c>
      <c r="AB17" s="1573">
        <f t="shared" si="4"/>
        <v>1</v>
      </c>
      <c r="AC17" s="1573">
        <f t="shared" si="5"/>
        <v>1</v>
      </c>
    </row>
    <row r="18" spans="1:29" ht="15">
      <c r="A18" s="531"/>
      <c r="B18" s="868"/>
      <c r="C18" s="575"/>
      <c r="D18" s="554"/>
      <c r="E18" s="553"/>
      <c r="F18" s="554"/>
      <c r="G18" s="553"/>
      <c r="H18" s="558"/>
      <c r="I18" s="553"/>
      <c r="J18" s="554"/>
      <c r="K18" s="530"/>
      <c r="L18" s="2140"/>
      <c r="M18" s="2132"/>
      <c r="N18" s="2132"/>
      <c r="O18" s="2139"/>
      <c r="P18" s="3461"/>
      <c r="Q18" s="1569"/>
      <c r="R18" s="1570"/>
      <c r="S18" s="1571"/>
      <c r="T18" s="1570"/>
      <c r="U18" s="1571"/>
      <c r="V18" s="1570"/>
      <c r="W18" s="1571"/>
      <c r="X18" s="1564"/>
      <c r="Y18" s="3461"/>
      <c r="Z18" s="1572"/>
      <c r="AA18" s="1573">
        <v>1</v>
      </c>
      <c r="AB18" s="1573">
        <v>1</v>
      </c>
      <c r="AC18" s="1573">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61"/>
      <c r="Q19" s="1569" t="str">
        <f>B19</f>
        <v>交通便捷度</v>
      </c>
      <c r="R19" s="1570" t="s">
        <v>8</v>
      </c>
      <c r="S19" s="1571">
        <f>F19</f>
        <v>100</v>
      </c>
      <c r="T19" s="1570" t="s">
        <v>8</v>
      </c>
      <c r="U19" s="1571">
        <f>H19</f>
        <v>100</v>
      </c>
      <c r="V19" s="1570" t="s">
        <v>8</v>
      </c>
      <c r="W19" s="1571">
        <f>J19</f>
        <v>100</v>
      </c>
      <c r="X19" s="1564"/>
      <c r="Y19" s="3461"/>
      <c r="Z19" s="1572" t="str">
        <f>Q19</f>
        <v>交通便捷度</v>
      </c>
      <c r="AA19" s="1573">
        <f t="shared" si="3"/>
        <v>1</v>
      </c>
      <c r="AB19" s="1573">
        <f t="shared" si="4"/>
        <v>1</v>
      </c>
      <c r="AC19" s="1573">
        <f t="shared" si="5"/>
        <v>1</v>
      </c>
    </row>
    <row r="20" spans="1:29" ht="15">
      <c r="A20" s="531"/>
      <c r="B20" s="921"/>
      <c r="C20" s="575"/>
      <c r="D20" s="554"/>
      <c r="E20" s="555"/>
      <c r="F20" s="554"/>
      <c r="G20" s="555"/>
      <c r="H20" s="554"/>
      <c r="I20" s="557"/>
      <c r="J20" s="554"/>
      <c r="K20" s="530"/>
      <c r="L20" s="2140"/>
      <c r="M20" s="2132"/>
      <c r="N20" s="2132"/>
      <c r="O20" s="2139"/>
      <c r="P20" s="3461"/>
      <c r="Q20" s="1569"/>
      <c r="R20" s="1570"/>
      <c r="S20" s="1571"/>
      <c r="T20" s="1570"/>
      <c r="U20" s="1571"/>
      <c r="V20" s="1570"/>
      <c r="W20" s="1571"/>
      <c r="X20" s="1564"/>
      <c r="Y20" s="3461"/>
      <c r="Z20" s="1572"/>
      <c r="AA20" s="1573">
        <v>1</v>
      </c>
      <c r="AB20" s="1573">
        <v>1</v>
      </c>
      <c r="AC20" s="1573">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61"/>
      <c r="Q21" s="1569" t="str">
        <f t="shared" ref="Q21:Q35" si="8">B21</f>
        <v>区域土地利用方向</v>
      </c>
      <c r="R21" s="1570" t="s">
        <v>8</v>
      </c>
      <c r="S21" s="1571">
        <f>F21</f>
        <v>100</v>
      </c>
      <c r="T21" s="1570" t="s">
        <v>8</v>
      </c>
      <c r="U21" s="1571">
        <f>H21</f>
        <v>100</v>
      </c>
      <c r="V21" s="1570" t="s">
        <v>8</v>
      </c>
      <c r="W21" s="1571">
        <f>J21</f>
        <v>100</v>
      </c>
      <c r="X21" s="1564"/>
      <c r="Y21" s="3461"/>
      <c r="Z21" s="1572" t="str">
        <f>Q21</f>
        <v>区域土地利用方向</v>
      </c>
      <c r="AA21" s="1573">
        <f t="shared" si="3"/>
        <v>1</v>
      </c>
      <c r="AB21" s="1573">
        <f t="shared" si="4"/>
        <v>1</v>
      </c>
      <c r="AC21" s="1573">
        <f t="shared" si="5"/>
        <v>1</v>
      </c>
    </row>
    <row r="22" spans="1:29" ht="15">
      <c r="A22" s="514"/>
      <c r="B22" s="594"/>
      <c r="C22" s="575"/>
      <c r="D22" s="554"/>
      <c r="E22" s="555"/>
      <c r="F22" s="556"/>
      <c r="G22" s="557"/>
      <c r="H22" s="556"/>
      <c r="I22" s="557"/>
      <c r="J22" s="556"/>
      <c r="K22" s="1347"/>
      <c r="L22" s="2140"/>
      <c r="M22" s="2132"/>
      <c r="N22" s="2132"/>
      <c r="O22" s="2139"/>
      <c r="P22" s="3461"/>
      <c r="Q22" s="1569"/>
      <c r="R22" s="1570"/>
      <c r="S22" s="1571"/>
      <c r="T22" s="1570"/>
      <c r="U22" s="1571"/>
      <c r="V22" s="1570"/>
      <c r="W22" s="1571"/>
      <c r="X22" s="1564"/>
      <c r="Y22" s="3461"/>
      <c r="Z22" s="1572"/>
      <c r="AA22" s="1573"/>
      <c r="AB22" s="1573"/>
      <c r="AC22" s="1573"/>
    </row>
    <row r="23" spans="1:29" ht="71.25">
      <c r="A23" s="514"/>
      <c r="B23" s="921"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61"/>
      <c r="Q23" s="1569" t="str">
        <f t="shared" si="8"/>
        <v>环境状况</v>
      </c>
      <c r="R23" s="1570" t="s">
        <v>8</v>
      </c>
      <c r="S23" s="1571">
        <f>F23</f>
        <v>100</v>
      </c>
      <c r="T23" s="1570" t="s">
        <v>8</v>
      </c>
      <c r="U23" s="1571">
        <f>H23</f>
        <v>100</v>
      </c>
      <c r="V23" s="1570" t="s">
        <v>8</v>
      </c>
      <c r="W23" s="1571">
        <f>J23</f>
        <v>100</v>
      </c>
      <c r="X23" s="1564"/>
      <c r="Y23" s="3461"/>
      <c r="Z23" s="1572" t="str">
        <f>Q23</f>
        <v>环境状况</v>
      </c>
      <c r="AA23" s="1573">
        <f t="shared" si="3"/>
        <v>1</v>
      </c>
      <c r="AB23" s="1573">
        <f t="shared" si="4"/>
        <v>1</v>
      </c>
      <c r="AC23" s="1573">
        <f t="shared" si="5"/>
        <v>1</v>
      </c>
    </row>
    <row r="24" spans="1:29" ht="15">
      <c r="A24" s="514"/>
      <c r="B24" s="594"/>
      <c r="C24" s="575"/>
      <c r="D24" s="554"/>
      <c r="E24" s="553"/>
      <c r="F24" s="554"/>
      <c r="G24" s="553"/>
      <c r="H24" s="554"/>
      <c r="I24" s="575"/>
      <c r="J24" s="554"/>
      <c r="K24" s="530"/>
      <c r="L24" s="2140"/>
      <c r="M24" s="2132"/>
      <c r="N24" s="2132"/>
      <c r="O24" s="2139"/>
      <c r="P24" s="3461"/>
      <c r="Q24" s="1569"/>
      <c r="R24" s="1570"/>
      <c r="S24" s="1571"/>
      <c r="T24" s="1570"/>
      <c r="U24" s="1571"/>
      <c r="V24" s="1570"/>
      <c r="W24" s="1571"/>
      <c r="X24" s="1564"/>
      <c r="Y24" s="3461"/>
      <c r="Z24" s="1572"/>
      <c r="AA24" s="1573">
        <v>1</v>
      </c>
      <c r="AB24" s="1573">
        <v>1</v>
      </c>
      <c r="AC24" s="1573">
        <v>1</v>
      </c>
    </row>
    <row r="25" spans="1:29" s="1219" customFormat="1" ht="42.75">
      <c r="A25" s="576"/>
      <c r="B25" s="2615"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61"/>
      <c r="Q25" s="1150" t="str">
        <f t="shared" si="8"/>
        <v>公共配套设施</v>
      </c>
      <c r="R25" s="1565" t="s">
        <v>8</v>
      </c>
      <c r="S25" s="1566">
        <f>F25</f>
        <v>100</v>
      </c>
      <c r="T25" s="1565" t="s">
        <v>8</v>
      </c>
      <c r="U25" s="1566">
        <f>H25</f>
        <v>100</v>
      </c>
      <c r="V25" s="1565" t="s">
        <v>8</v>
      </c>
      <c r="W25" s="1566">
        <f>J25</f>
        <v>100</v>
      </c>
      <c r="X25" s="1567"/>
      <c r="Y25" s="3461"/>
      <c r="Z25" s="1149" t="str">
        <f>Q25</f>
        <v>公共配套设施</v>
      </c>
      <c r="AA25" s="1573">
        <f>D25/F25</f>
        <v>1</v>
      </c>
      <c r="AB25" s="1573">
        <f>D25/H25</f>
        <v>1</v>
      </c>
      <c r="AC25" s="1573">
        <f>D25/J25</f>
        <v>1</v>
      </c>
    </row>
    <row r="26" spans="1:29" s="1219" customFormat="1" ht="15">
      <c r="A26" s="576"/>
      <c r="B26" s="594"/>
      <c r="C26" s="2614"/>
      <c r="D26" s="554"/>
      <c r="E26" s="553"/>
      <c r="F26" s="554"/>
      <c r="G26" s="553"/>
      <c r="H26" s="554"/>
      <c r="I26" s="575"/>
      <c r="J26" s="554"/>
      <c r="K26" s="530"/>
      <c r="L26" s="2133"/>
      <c r="M26" s="2134"/>
      <c r="N26" s="2134"/>
      <c r="O26" s="2135"/>
      <c r="P26" s="3461"/>
      <c r="Q26" s="1150"/>
      <c r="R26" s="1565"/>
      <c r="S26" s="1566"/>
      <c r="T26" s="1565"/>
      <c r="U26" s="1566"/>
      <c r="V26" s="1565"/>
      <c r="W26" s="1566"/>
      <c r="X26" s="1567"/>
      <c r="Y26" s="3461"/>
      <c r="Z26" s="1149"/>
      <c r="AA26" s="1568">
        <v>1</v>
      </c>
      <c r="AB26" s="1568">
        <v>1</v>
      </c>
      <c r="AC26" s="1568">
        <v>1</v>
      </c>
    </row>
    <row r="27" spans="1:29" s="1219" customFormat="1" ht="28.5">
      <c r="A27" s="576"/>
      <c r="B27" s="2615"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61"/>
      <c r="Q27" s="2600" t="str">
        <f t="shared" ref="Q27" si="9">B27</f>
        <v>基础设施水平</v>
      </c>
      <c r="R27" s="1565" t="s">
        <v>8</v>
      </c>
      <c r="S27" s="1566">
        <f>F27</f>
        <v>100</v>
      </c>
      <c r="T27" s="1565" t="s">
        <v>8</v>
      </c>
      <c r="U27" s="1566">
        <f>H27</f>
        <v>100</v>
      </c>
      <c r="V27" s="1565" t="s">
        <v>8</v>
      </c>
      <c r="W27" s="1566">
        <f>J27</f>
        <v>100</v>
      </c>
      <c r="X27" s="1567"/>
      <c r="Y27" s="3461"/>
      <c r="Z27" s="2597" t="str">
        <f>Q27</f>
        <v>基础设施水平</v>
      </c>
      <c r="AA27" s="1573">
        <f>D27/F27</f>
        <v>1</v>
      </c>
      <c r="AB27" s="1573">
        <f>D27/H27</f>
        <v>1</v>
      </c>
      <c r="AC27" s="1573">
        <f>D27/J27</f>
        <v>1</v>
      </c>
    </row>
    <row r="28" spans="1:29" s="1219" customFormat="1" ht="15">
      <c r="A28" s="576"/>
      <c r="B28" s="594"/>
      <c r="C28" s="2614"/>
      <c r="D28" s="554"/>
      <c r="E28" s="578"/>
      <c r="F28" s="554"/>
      <c r="G28" s="578"/>
      <c r="H28" s="554"/>
      <c r="I28" s="578"/>
      <c r="J28" s="554"/>
      <c r="K28" s="530"/>
      <c r="L28" s="2133"/>
      <c r="M28" s="2134"/>
      <c r="N28" s="2134"/>
      <c r="O28" s="2135"/>
      <c r="P28" s="3461"/>
      <c r="Q28" s="2600"/>
      <c r="R28" s="1565"/>
      <c r="S28" s="1566"/>
      <c r="T28" s="1565"/>
      <c r="U28" s="1566"/>
      <c r="V28" s="1565"/>
      <c r="W28" s="1566"/>
      <c r="X28" s="1567"/>
      <c r="Y28" s="3461"/>
      <c r="Z28" s="2597"/>
      <c r="AA28" s="1568">
        <v>1</v>
      </c>
      <c r="AB28" s="1568">
        <v>1</v>
      </c>
      <c r="AC28" s="1568">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61"/>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61"/>
      <c r="Z29" s="1572" t="str">
        <f t="shared" ref="Z29:Z42" si="13">Q29</f>
        <v>临街状况</v>
      </c>
      <c r="AA29" s="1573">
        <f t="shared" si="3"/>
        <v>1</v>
      </c>
      <c r="AB29" s="1573">
        <f t="shared" si="4"/>
        <v>1</v>
      </c>
      <c r="AC29" s="1573">
        <f t="shared" si="5"/>
        <v>1</v>
      </c>
    </row>
    <row r="30" spans="1:29" ht="27">
      <c r="A30" s="531"/>
      <c r="B30" s="921" t="s">
        <v>544</v>
      </c>
      <c r="C30" s="261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61"/>
      <c r="Q30" s="1569" t="str">
        <f t="shared" si="8"/>
        <v>毗邻道路的类型与等级</v>
      </c>
      <c r="R30" s="1570" t="s">
        <v>8</v>
      </c>
      <c r="S30" s="1571">
        <f t="shared" si="10"/>
        <v>100</v>
      </c>
      <c r="T30" s="1570" t="s">
        <v>8</v>
      </c>
      <c r="U30" s="1571">
        <f t="shared" si="11"/>
        <v>100</v>
      </c>
      <c r="V30" s="1570" t="s">
        <v>8</v>
      </c>
      <c r="W30" s="1571">
        <f t="shared" si="12"/>
        <v>100</v>
      </c>
      <c r="X30" s="1564"/>
      <c r="Y30" s="3461"/>
      <c r="Z30" s="1572" t="str">
        <f t="shared" si="13"/>
        <v>毗邻道路的类型与等级</v>
      </c>
      <c r="AA30" s="1573">
        <f t="shared" si="3"/>
        <v>1</v>
      </c>
      <c r="AB30" s="1573">
        <f t="shared" si="4"/>
        <v>1</v>
      </c>
      <c r="AC30" s="1573">
        <f t="shared" si="5"/>
        <v>1</v>
      </c>
    </row>
    <row r="31" spans="1:29" ht="15">
      <c r="A31" s="531"/>
      <c r="B31" s="594"/>
      <c r="C31" s="575"/>
      <c r="D31" s="554"/>
      <c r="E31" s="575"/>
      <c r="F31" s="554"/>
      <c r="G31" s="575"/>
      <c r="H31" s="554"/>
      <c r="I31" s="575"/>
      <c r="J31" s="554"/>
      <c r="K31" s="580"/>
      <c r="L31" s="2140"/>
      <c r="M31" s="2132"/>
      <c r="N31" s="2132"/>
      <c r="O31" s="2139"/>
      <c r="P31" s="3461"/>
      <c r="Q31" s="1569"/>
      <c r="R31" s="1570"/>
      <c r="S31" s="1571"/>
      <c r="T31" s="1570"/>
      <c r="U31" s="1571"/>
      <c r="V31" s="1570"/>
      <c r="W31" s="1571"/>
      <c r="X31" s="1564"/>
      <c r="Y31" s="3461"/>
      <c r="Z31" s="1572"/>
      <c r="AA31" s="1573">
        <v>1</v>
      </c>
      <c r="AB31" s="1573">
        <v>1</v>
      </c>
      <c r="AC31" s="1573">
        <v>1</v>
      </c>
    </row>
    <row r="32" spans="1:29" ht="15">
      <c r="A32" s="531"/>
      <c r="B32" s="526" t="s">
        <v>545</v>
      </c>
      <c r="C32" s="261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61"/>
      <c r="Q32" s="1569" t="str">
        <f t="shared" si="8"/>
        <v>土地级别</v>
      </c>
      <c r="R32" s="1570" t="s">
        <v>8</v>
      </c>
      <c r="S32" s="1571">
        <f t="shared" si="10"/>
        <v>100</v>
      </c>
      <c r="T32" s="1570" t="s">
        <v>8</v>
      </c>
      <c r="U32" s="1571">
        <f t="shared" si="11"/>
        <v>100</v>
      </c>
      <c r="V32" s="1570" t="s">
        <v>8</v>
      </c>
      <c r="W32" s="1571">
        <f t="shared" si="12"/>
        <v>100</v>
      </c>
      <c r="X32" s="1564"/>
      <c r="Y32" s="3461"/>
      <c r="Z32" s="1572" t="str">
        <f t="shared" si="13"/>
        <v>土地级别</v>
      </c>
      <c r="AA32" s="1573">
        <f t="shared" si="3"/>
        <v>1</v>
      </c>
      <c r="AB32" s="1573">
        <f t="shared" si="4"/>
        <v>1</v>
      </c>
      <c r="AC32" s="1573">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61"/>
      <c r="Q33" s="1569">
        <f t="shared" si="8"/>
        <v>111</v>
      </c>
      <c r="R33" s="1570" t="s">
        <v>8</v>
      </c>
      <c r="S33" s="1571">
        <f t="shared" si="10"/>
        <v>100</v>
      </c>
      <c r="T33" s="1570" t="s">
        <v>8</v>
      </c>
      <c r="U33" s="1571">
        <f t="shared" si="11"/>
        <v>100</v>
      </c>
      <c r="V33" s="1570" t="s">
        <v>8</v>
      </c>
      <c r="W33" s="1571">
        <f t="shared" si="12"/>
        <v>100</v>
      </c>
      <c r="X33" s="1564"/>
      <c r="Y33" s="3461"/>
      <c r="Z33" s="1572">
        <f t="shared" si="13"/>
        <v>111</v>
      </c>
      <c r="AA33" s="1573">
        <f t="shared" si="3"/>
        <v>1</v>
      </c>
      <c r="AB33" s="1573">
        <f t="shared" si="4"/>
        <v>1</v>
      </c>
      <c r="AC33" s="1573">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62" t="s">
        <v>546</v>
      </c>
      <c r="Q34" s="1569">
        <f t="shared" si="8"/>
        <v>111</v>
      </c>
      <c r="R34" s="1570" t="s">
        <v>8</v>
      </c>
      <c r="S34" s="1571">
        <f t="shared" si="10"/>
        <v>100</v>
      </c>
      <c r="T34" s="1570" t="s">
        <v>8</v>
      </c>
      <c r="U34" s="1571">
        <f t="shared" si="11"/>
        <v>100</v>
      </c>
      <c r="V34" s="1570" t="s">
        <v>8</v>
      </c>
      <c r="W34" s="1571">
        <f t="shared" si="12"/>
        <v>100</v>
      </c>
      <c r="X34" s="1564"/>
      <c r="Y34" s="3463" t="s">
        <v>546</v>
      </c>
      <c r="Z34" s="1572">
        <f t="shared" si="13"/>
        <v>111</v>
      </c>
      <c r="AA34" s="1573">
        <f t="shared" si="3"/>
        <v>1</v>
      </c>
      <c r="AB34" s="1573">
        <f t="shared" si="4"/>
        <v>1</v>
      </c>
      <c r="AC34" s="1573">
        <f t="shared" si="5"/>
        <v>1</v>
      </c>
    </row>
    <row r="35" spans="1:29" s="1338" customFormat="1" ht="15.75" thickBot="1">
      <c r="A35" s="588"/>
      <c r="B35" s="261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63"/>
      <c r="Q35" s="1569">
        <f t="shared" si="8"/>
        <v>111</v>
      </c>
      <c r="R35" s="1574" t="s">
        <v>8</v>
      </c>
      <c r="S35" s="1575">
        <f t="shared" si="10"/>
        <v>100</v>
      </c>
      <c r="T35" s="1574" t="s">
        <v>8</v>
      </c>
      <c r="U35" s="1575">
        <f t="shared" si="11"/>
        <v>100</v>
      </c>
      <c r="V35" s="1574" t="s">
        <v>8</v>
      </c>
      <c r="W35" s="1575">
        <f t="shared" si="12"/>
        <v>100</v>
      </c>
      <c r="X35" s="1576"/>
      <c r="Y35" s="3463"/>
      <c r="Z35" s="1577">
        <f t="shared" si="13"/>
        <v>111</v>
      </c>
      <c r="AA35" s="1573">
        <f t="shared" si="3"/>
        <v>1</v>
      </c>
      <c r="AB35" s="1573">
        <f t="shared" si="4"/>
        <v>1</v>
      </c>
      <c r="AC35" s="1573">
        <f t="shared" si="5"/>
        <v>1</v>
      </c>
    </row>
    <row r="36" spans="1:29" ht="15">
      <c r="A36" s="2929"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63"/>
      <c r="Q36" s="1569" t="str">
        <f>B36</f>
        <v>宗地面积</v>
      </c>
      <c r="R36" s="1570" t="s">
        <v>8</v>
      </c>
      <c r="S36" s="1571" t="e">
        <f t="shared" si="10"/>
        <v>#N/A</v>
      </c>
      <c r="T36" s="1570" t="s">
        <v>8</v>
      </c>
      <c r="U36" s="1571" t="e">
        <f t="shared" si="11"/>
        <v>#N/A</v>
      </c>
      <c r="V36" s="1570" t="s">
        <v>8</v>
      </c>
      <c r="W36" s="1571" t="e">
        <f t="shared" si="12"/>
        <v>#N/A</v>
      </c>
      <c r="X36" s="1564"/>
      <c r="Y36" s="3463"/>
      <c r="Z36" s="1572" t="str">
        <f t="shared" si="13"/>
        <v>宗地面积</v>
      </c>
      <c r="AA36" s="1573" t="e">
        <f t="shared" si="3"/>
        <v>#N/A</v>
      </c>
      <c r="AB36" s="1573" t="e">
        <f t="shared" si="4"/>
        <v>#N/A</v>
      </c>
      <c r="AC36" s="1573"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63"/>
      <c r="Q37" s="1569" t="str">
        <f t="shared" ref="Q37:Q42" si="14">B37</f>
        <v>宗地形状</v>
      </c>
      <c r="R37" s="1570" t="s">
        <v>8</v>
      </c>
      <c r="S37" s="1571">
        <f t="shared" si="10"/>
        <v>100</v>
      </c>
      <c r="T37" s="1570" t="s">
        <v>8</v>
      </c>
      <c r="U37" s="1571">
        <f t="shared" si="11"/>
        <v>100</v>
      </c>
      <c r="V37" s="1570" t="s">
        <v>8</v>
      </c>
      <c r="W37" s="1571">
        <f t="shared" si="12"/>
        <v>100</v>
      </c>
      <c r="X37" s="1564"/>
      <c r="Y37" s="3463"/>
      <c r="Z37" s="1572" t="str">
        <f t="shared" si="13"/>
        <v>宗地形状</v>
      </c>
      <c r="AA37" s="1573">
        <f t="shared" si="3"/>
        <v>1</v>
      </c>
      <c r="AB37" s="1573">
        <f t="shared" si="4"/>
        <v>1</v>
      </c>
      <c r="AC37" s="1573">
        <f t="shared" si="5"/>
        <v>1</v>
      </c>
    </row>
    <row r="38" spans="1:29" s="1219" customFormat="1" ht="15">
      <c r="A38" s="599"/>
      <c r="B38" s="1893"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63"/>
      <c r="Q38" s="1569" t="str">
        <f t="shared" si="14"/>
        <v>宗地开发程度</v>
      </c>
      <c r="R38" s="1565" t="s">
        <v>8</v>
      </c>
      <c r="S38" s="1566">
        <f t="shared" si="10"/>
        <v>100</v>
      </c>
      <c r="T38" s="1565" t="s">
        <v>8</v>
      </c>
      <c r="U38" s="1566">
        <f t="shared" si="11"/>
        <v>100</v>
      </c>
      <c r="V38" s="1565" t="s">
        <v>8</v>
      </c>
      <c r="W38" s="1566">
        <f t="shared" si="12"/>
        <v>100</v>
      </c>
      <c r="X38" s="1567"/>
      <c r="Y38" s="3463"/>
      <c r="Z38" s="1149" t="str">
        <f t="shared" si="13"/>
        <v>宗地开发程度</v>
      </c>
      <c r="AA38" s="1568">
        <f t="shared" si="3"/>
        <v>1</v>
      </c>
      <c r="AB38" s="1568">
        <f t="shared" si="4"/>
        <v>1</v>
      </c>
      <c r="AC38" s="1568">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63" t="s">
        <v>597</v>
      </c>
      <c r="Q39" s="1569" t="str">
        <f t="shared" si="14"/>
        <v>工程地质条件</v>
      </c>
      <c r="R39" s="1570" t="s">
        <v>8</v>
      </c>
      <c r="S39" s="1571">
        <f t="shared" si="10"/>
        <v>100</v>
      </c>
      <c r="T39" s="1570" t="s">
        <v>8</v>
      </c>
      <c r="U39" s="1571">
        <f t="shared" si="11"/>
        <v>100</v>
      </c>
      <c r="V39" s="1570" t="s">
        <v>8</v>
      </c>
      <c r="W39" s="1571">
        <f t="shared" si="12"/>
        <v>100</v>
      </c>
      <c r="X39" s="1564"/>
      <c r="Y39" s="3463" t="s">
        <v>597</v>
      </c>
      <c r="Z39" s="1572" t="str">
        <f t="shared" si="13"/>
        <v>工程地质条件</v>
      </c>
      <c r="AA39" s="1573">
        <f t="shared" si="3"/>
        <v>1</v>
      </c>
      <c r="AB39" s="1573">
        <f t="shared" si="4"/>
        <v>1</v>
      </c>
      <c r="AC39" s="1573">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63"/>
      <c r="Q40" s="1569">
        <f t="shared" si="14"/>
        <v>111</v>
      </c>
      <c r="R40" s="1570" t="s">
        <v>8</v>
      </c>
      <c r="S40" s="1571">
        <f t="shared" si="10"/>
        <v>100</v>
      </c>
      <c r="T40" s="1570" t="s">
        <v>8</v>
      </c>
      <c r="U40" s="1571">
        <f t="shared" si="11"/>
        <v>100</v>
      </c>
      <c r="V40" s="1570" t="s">
        <v>8</v>
      </c>
      <c r="W40" s="1571">
        <f t="shared" si="12"/>
        <v>100</v>
      </c>
      <c r="X40" s="1564"/>
      <c r="Y40" s="3463"/>
      <c r="Z40" s="1572">
        <f t="shared" si="13"/>
        <v>111</v>
      </c>
      <c r="AA40" s="1573">
        <f t="shared" si="3"/>
        <v>1</v>
      </c>
      <c r="AB40" s="1573">
        <f t="shared" si="4"/>
        <v>1</v>
      </c>
      <c r="AC40" s="1573">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63"/>
      <c r="Q41" s="1569">
        <f t="shared" si="14"/>
        <v>111</v>
      </c>
      <c r="R41" s="1570" t="s">
        <v>8</v>
      </c>
      <c r="S41" s="1571">
        <f t="shared" si="10"/>
        <v>100</v>
      </c>
      <c r="T41" s="1570" t="s">
        <v>8</v>
      </c>
      <c r="U41" s="1571">
        <f t="shared" si="11"/>
        <v>100</v>
      </c>
      <c r="V41" s="1570" t="s">
        <v>8</v>
      </c>
      <c r="W41" s="1571">
        <f t="shared" si="12"/>
        <v>100</v>
      </c>
      <c r="X41" s="1564"/>
      <c r="Y41" s="3463"/>
      <c r="Z41" s="1572">
        <f t="shared" si="13"/>
        <v>111</v>
      </c>
      <c r="AA41" s="1573">
        <f t="shared" si="3"/>
        <v>1</v>
      </c>
      <c r="AB41" s="1573">
        <f t="shared" si="4"/>
        <v>1</v>
      </c>
      <c r="AC41" s="1573">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63"/>
      <c r="Q42" s="1569">
        <f t="shared" si="14"/>
        <v>111</v>
      </c>
      <c r="R42" s="1574" t="s">
        <v>8</v>
      </c>
      <c r="S42" s="1575">
        <f t="shared" si="10"/>
        <v>100</v>
      </c>
      <c r="T42" s="1574" t="s">
        <v>8</v>
      </c>
      <c r="U42" s="1575">
        <f t="shared" si="11"/>
        <v>100</v>
      </c>
      <c r="V42" s="1574" t="s">
        <v>8</v>
      </c>
      <c r="W42" s="1575">
        <f t="shared" si="12"/>
        <v>100</v>
      </c>
      <c r="X42" s="1576"/>
      <c r="Y42" s="3463"/>
      <c r="Z42" s="1577">
        <f t="shared" si="13"/>
        <v>111</v>
      </c>
      <c r="AA42" s="1573">
        <f t="shared" si="3"/>
        <v>1</v>
      </c>
      <c r="AB42" s="1573">
        <f t="shared" si="4"/>
        <v>1</v>
      </c>
      <c r="AC42" s="1573">
        <f t="shared" si="5"/>
        <v>1</v>
      </c>
    </row>
    <row r="43" spans="1:29" ht="15">
      <c r="A43" s="606" t="s">
        <v>552</v>
      </c>
      <c r="B43" s="607" t="s">
        <v>2933</v>
      </c>
      <c r="C43" s="608" t="s">
        <v>1</v>
      </c>
      <c r="D43" s="609"/>
      <c r="E43" s="610"/>
      <c r="F43" s="611"/>
      <c r="G43" s="612"/>
      <c r="H43" s="613"/>
      <c r="I43" s="610"/>
      <c r="J43" s="613"/>
      <c r="K43" s="1339"/>
      <c r="L43" s="2142"/>
      <c r="M43" s="2132"/>
      <c r="N43" s="2132"/>
      <c r="O43" s="2143"/>
      <c r="P43" s="3426" t="str">
        <f>A43</f>
        <v>成交单价</v>
      </c>
      <c r="Q43" s="3426"/>
      <c r="R43" s="3427">
        <f>E43</f>
        <v>0</v>
      </c>
      <c r="S43" s="3427"/>
      <c r="T43" s="3427">
        <f>G43</f>
        <v>0</v>
      </c>
      <c r="U43" s="3427"/>
      <c r="V43" s="3427">
        <f>I43</f>
        <v>0</v>
      </c>
      <c r="W43" s="3427"/>
      <c r="X43" s="1556"/>
      <c r="Y43" s="1578"/>
      <c r="Z43" s="1556"/>
      <c r="AA43" s="1556"/>
      <c r="AB43" s="1556"/>
      <c r="AC43" s="1556"/>
    </row>
    <row r="44" spans="1:29" ht="15.75" thickBot="1">
      <c r="A44" s="614" t="s">
        <v>2693</v>
      </c>
      <c r="B44" s="615"/>
      <c r="C44" s="616" t="e">
        <f>R45</f>
        <v>#DIV/0!</v>
      </c>
      <c r="D44" s="617"/>
      <c r="E44" s="616" t="e">
        <f>R44</f>
        <v>#DIV/0!</v>
      </c>
      <c r="F44" s="618"/>
      <c r="G44" s="619" t="e">
        <f>T44</f>
        <v>#DIV/0!</v>
      </c>
      <c r="H44" s="617"/>
      <c r="I44" s="616" t="e">
        <f>V44</f>
        <v>#DIV/0!</v>
      </c>
      <c r="J44" s="617"/>
      <c r="K44" s="1340"/>
      <c r="L44" s="2142"/>
      <c r="M44" s="2132"/>
      <c r="N44" s="2132"/>
      <c r="O44" s="2143"/>
      <c r="P44" s="3426" t="str">
        <f>A44</f>
        <v>比较价格（元/平方米）</v>
      </c>
      <c r="Q44" s="3426"/>
      <c r="R44" s="3428" t="e">
        <f>ROUND(PRODUCT(R43,AA9:AA42),0)</f>
        <v>#DIV/0!</v>
      </c>
      <c r="S44" s="3428"/>
      <c r="T44" s="3428" t="e">
        <f>ROUND(PRODUCT(T43,AB9:AB42),0)</f>
        <v>#DIV/0!</v>
      </c>
      <c r="U44" s="3428"/>
      <c r="V44" s="3428" t="e">
        <f>ROUND(PRODUCT(V43,AC9:AC42),0)</f>
        <v>#DIV/0!</v>
      </c>
      <c r="W44" s="3428"/>
      <c r="X44" s="1556"/>
      <c r="Y44" s="1556"/>
      <c r="Z44" s="1556"/>
      <c r="AA44" s="1556"/>
      <c r="AB44" s="1556"/>
      <c r="AC44" s="1556"/>
    </row>
    <row r="45" spans="1:29" ht="15.75" thickBot="1">
      <c r="A45" s="620" t="s">
        <v>2934</v>
      </c>
      <c r="B45" s="621"/>
      <c r="C45" s="622" t="e">
        <f>R45</f>
        <v>#DIV/0!</v>
      </c>
      <c r="D45" s="622"/>
      <c r="E45" s="622"/>
      <c r="F45" s="622"/>
      <c r="G45" s="622"/>
      <c r="H45" s="622"/>
      <c r="I45" s="622"/>
      <c r="J45" s="622"/>
      <c r="K45" s="1341"/>
      <c r="L45" s="2142"/>
      <c r="M45" s="2132"/>
      <c r="N45" s="2132"/>
      <c r="O45" s="2143"/>
      <c r="P45" s="3423" t="str">
        <f>A45</f>
        <v>估价对象XX用房的比较价格（楼面单价，元/平方米）</v>
      </c>
      <c r="Q45" s="3424"/>
      <c r="R45" s="3425" t="e">
        <f>ROUND(AVERAGE(R44:V44),0)</f>
        <v>#DIV/0!</v>
      </c>
      <c r="S45" s="3425"/>
      <c r="T45" s="3425"/>
      <c r="U45" s="3425"/>
      <c r="V45" s="3425"/>
      <c r="W45" s="3425"/>
      <c r="X45" s="1556"/>
      <c r="Y45" s="1556"/>
      <c r="Z45" s="1556"/>
      <c r="AA45" s="1556"/>
      <c r="AB45" s="1556"/>
      <c r="AC45" s="1556"/>
    </row>
    <row r="46" spans="1:29">
      <c r="A46" s="2143"/>
      <c r="B46" s="2143"/>
      <c r="C46" s="2143"/>
      <c r="D46" s="2143"/>
      <c r="E46" s="2143"/>
      <c r="F46" s="2143"/>
      <c r="G46" s="2146"/>
      <c r="H46" s="2143"/>
      <c r="I46" s="2143"/>
      <c r="J46" s="2143"/>
      <c r="K46" s="2147"/>
      <c r="L46" s="2148"/>
      <c r="M46" s="2132"/>
      <c r="N46" s="2132"/>
      <c r="O46" s="2143"/>
      <c r="P46" s="1556"/>
      <c r="Q46" s="1556"/>
      <c r="R46" s="1556"/>
      <c r="S46" s="1556"/>
      <c r="T46" s="1556"/>
      <c r="U46" s="1556"/>
      <c r="V46" s="1556"/>
      <c r="W46" s="1556"/>
      <c r="X46" s="1556"/>
      <c r="Y46" s="1556"/>
      <c r="Z46" s="1556"/>
      <c r="AA46" s="1556"/>
      <c r="AB46" s="1556"/>
      <c r="AC46" s="1556"/>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556</v>
      </c>
      <c r="B52" s="629" t="s">
        <v>557</v>
      </c>
      <c r="C52" s="1557" t="s">
        <v>1721</v>
      </c>
      <c r="D52" s="2225" t="s">
        <v>2292</v>
      </c>
      <c r="E52" s="630" t="s">
        <v>558</v>
      </c>
      <c r="F52" s="1949" t="s">
        <v>559</v>
      </c>
      <c r="G52" s="3470" t="s">
        <v>2283</v>
      </c>
      <c r="H52" s="3471"/>
      <c r="I52" s="1950" t="s">
        <v>1944</v>
      </c>
      <c r="J52" s="1552">
        <f>项目基本情况!F41</f>
        <v>0</v>
      </c>
      <c r="K52" s="2152" t="s">
        <v>1720</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560</v>
      </c>
      <c r="B53" s="633" t="e">
        <f>C45</f>
        <v>#DIV/0!</v>
      </c>
      <c r="C53" s="634">
        <v>1</v>
      </c>
      <c r="D53" s="2226">
        <v>1</v>
      </c>
      <c r="E53" s="634">
        <f>'数据-汇总表'!E8+'数据-汇总表'!E9</f>
        <v>96541.88</v>
      </c>
      <c r="F53" s="1948" t="e">
        <f t="shared" ref="F53:F62" si="15">ROUND(B53*E53/10000,0)</f>
        <v>#DIV/0!</v>
      </c>
      <c r="G53" s="3472"/>
      <c r="H53" s="3473"/>
      <c r="I53" s="1951">
        <v>1</v>
      </c>
      <c r="J53" s="1553">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561</v>
      </c>
      <c r="B54" s="637" t="e">
        <f>ROUND($C$45*C54*D54,0)</f>
        <v>#DIV/0!</v>
      </c>
      <c r="C54" s="377">
        <f t="shared" ref="C54:C62" si="16">IF($C$52="北京市系数",I54,J54)</f>
        <v>0.6</v>
      </c>
      <c r="D54" s="2227">
        <v>0.25</v>
      </c>
      <c r="E54" s="638"/>
      <c r="F54" s="1948" t="e">
        <f t="shared" si="15"/>
        <v>#DIV/0!</v>
      </c>
      <c r="G54" s="3474" t="s">
        <v>2284</v>
      </c>
      <c r="H54" s="1952" t="str">
        <f>项目基本情况!B43</f>
        <v>十级</v>
      </c>
      <c r="I54" s="1951">
        <f>SUMIF(修正!$A$45:$A$56,H54,修正!B45:B56)</f>
        <v>0.6</v>
      </c>
      <c r="J54" s="1555"/>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562</v>
      </c>
      <c r="B55" s="637" t="e">
        <f t="shared" ref="B55:B62" si="17">ROUND($C$45*C55*D55,0)</f>
        <v>#DIV/0!</v>
      </c>
      <c r="C55" s="377">
        <f t="shared" si="16"/>
        <v>0.3</v>
      </c>
      <c r="D55" s="2227">
        <v>0.25</v>
      </c>
      <c r="E55" s="638"/>
      <c r="F55" s="1948" t="e">
        <f t="shared" si="15"/>
        <v>#DIV/0!</v>
      </c>
      <c r="G55" s="3474"/>
      <c r="H55" s="1953" t="str">
        <f>项目基本情况!B43</f>
        <v>十级</v>
      </c>
      <c r="I55" s="1951">
        <f>SUMIF(修正!$A$45:$A$56,H55,修正!C45:C56)</f>
        <v>0.3</v>
      </c>
      <c r="J55" s="1555"/>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563</v>
      </c>
      <c r="B56" s="637" t="e">
        <f t="shared" si="17"/>
        <v>#DIV/0!</v>
      </c>
      <c r="C56" s="377">
        <f t="shared" si="16"/>
        <v>0.2</v>
      </c>
      <c r="D56" s="2227">
        <v>0.25</v>
      </c>
      <c r="E56" s="638"/>
      <c r="F56" s="1948" t="e">
        <f t="shared" si="15"/>
        <v>#DIV/0!</v>
      </c>
      <c r="G56" s="3474"/>
      <c r="H56" s="1953" t="str">
        <f>项目基本情况!B43</f>
        <v>十级</v>
      </c>
      <c r="I56" s="1951">
        <f>SUMIF(修正!$A$45:$A$56,H56,修正!D45:D56)</f>
        <v>0.2</v>
      </c>
      <c r="J56" s="1555"/>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564</v>
      </c>
      <c r="B57" s="637" t="e">
        <f t="shared" si="17"/>
        <v>#DIV/0!</v>
      </c>
      <c r="C57" s="377">
        <f t="shared" si="16"/>
        <v>0.2</v>
      </c>
      <c r="D57" s="2227">
        <v>0.25</v>
      </c>
      <c r="E57" s="638"/>
      <c r="F57" s="1948" t="e">
        <f t="shared" si="15"/>
        <v>#DIV/0!</v>
      </c>
      <c r="G57" s="3474"/>
      <c r="H57" s="1953" t="str">
        <f>项目基本情况!B43</f>
        <v>十级</v>
      </c>
      <c r="I57" s="1951">
        <f>SUMIF(修正!$A$45:$A$56,H57,修正!E45:E56)</f>
        <v>0.2</v>
      </c>
      <c r="J57" s="1555"/>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2327</v>
      </c>
      <c r="B58" s="637" t="e">
        <f t="shared" si="17"/>
        <v>#DIV/0!</v>
      </c>
      <c r="C58" s="377">
        <f t="shared" si="16"/>
        <v>0.2</v>
      </c>
      <c r="D58" s="2227">
        <v>0.25</v>
      </c>
      <c r="E58" s="640">
        <f>'数据-汇总表'!E11</f>
        <v>0</v>
      </c>
      <c r="F58" s="1948" t="e">
        <f t="shared" si="15"/>
        <v>#DIV/0!</v>
      </c>
      <c r="G58" s="1954" t="s">
        <v>2285</v>
      </c>
      <c r="H58" s="1953" t="str">
        <f>项目基本情况!C43</f>
        <v>十级</v>
      </c>
      <c r="I58" s="1951">
        <f>SUMIF(修正!$A$45:$A$56,H58,修正!F45:F56)</f>
        <v>0.2</v>
      </c>
      <c r="J58" s="1555"/>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t="e">
        <f t="shared" si="17"/>
        <v>#DIV/0!</v>
      </c>
      <c r="C59" s="377">
        <f t="shared" si="16"/>
        <v>0.2</v>
      </c>
      <c r="D59" s="2227">
        <v>0.25</v>
      </c>
      <c r="E59" s="640">
        <f>'数据-汇总表'!E12</f>
        <v>29834.269999999997</v>
      </c>
      <c r="F59" s="1948" t="e">
        <f t="shared" si="15"/>
        <v>#DIV/0!</v>
      </c>
      <c r="G59" s="1944" t="s">
        <v>1674</v>
      </c>
      <c r="H59" s="1952" t="str">
        <f>IF(G59="商业",项目基本情况!B43,IF(G59="办公",项目基本情况!C43,IF(G59="住宅",项目基本情况!D43,项目基本情况!E43)))</f>
        <v>十级</v>
      </c>
      <c r="I59" s="1951">
        <f>SUMIF(修正!$A$45:$A$56,H59,修正!G45:G56)</f>
        <v>0.2</v>
      </c>
      <c r="J59" s="1555"/>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t="e">
        <f t="shared" si="17"/>
        <v>#DIV/0!</v>
      </c>
      <c r="C60" s="377">
        <f t="shared" si="16"/>
        <v>0.15</v>
      </c>
      <c r="D60" s="2227">
        <v>0.25</v>
      </c>
      <c r="E60" s="640">
        <f>'数据-汇总表'!E13</f>
        <v>27013.690000000002</v>
      </c>
      <c r="F60" s="1948" t="e">
        <f t="shared" si="15"/>
        <v>#DIV/0!</v>
      </c>
      <c r="G60" s="1944" t="s">
        <v>919</v>
      </c>
      <c r="H60" s="1952" t="str">
        <f>IF(G60="商业",项目基本情况!B43,IF(G60="办公",项目基本情况!C43,IF(G60="住宅",项目基本情况!D43,项目基本情况!E43)))</f>
        <v>十级</v>
      </c>
      <c r="I60" s="1951">
        <f>SUMIF(修正!$A$45:$A$56,H60,修正!H45:H56)</f>
        <v>0.15</v>
      </c>
      <c r="J60" s="1555"/>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t="e">
        <f t="shared" si="17"/>
        <v>#DIV/0!</v>
      </c>
      <c r="C61" s="377">
        <f t="shared" si="16"/>
        <v>0.15</v>
      </c>
      <c r="D61" s="2227">
        <v>0.25</v>
      </c>
      <c r="E61" s="640">
        <f>'数据-汇总表'!E14</f>
        <v>0</v>
      </c>
      <c r="F61" s="1948" t="e">
        <f t="shared" si="15"/>
        <v>#DIV/0!</v>
      </c>
      <c r="G61" s="1954" t="s">
        <v>2284</v>
      </c>
      <c r="H61" s="1953" t="str">
        <f>项目基本情况!B43</f>
        <v>十级</v>
      </c>
      <c r="I61" s="1951">
        <f>SUMIF(修正!$A$45:$A$56,H61,修正!H45:H56)</f>
        <v>0.15</v>
      </c>
      <c r="J61" s="1555"/>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568</v>
      </c>
      <c r="B62" s="637" t="e">
        <f t="shared" si="17"/>
        <v>#DIV/0!</v>
      </c>
      <c r="C62" s="377">
        <f t="shared" si="16"/>
        <v>0.15</v>
      </c>
      <c r="D62" s="2227">
        <v>0.25</v>
      </c>
      <c r="E62" s="640">
        <f>'数据-汇总表'!E15</f>
        <v>0</v>
      </c>
      <c r="F62" s="1948" t="e">
        <f t="shared" si="15"/>
        <v>#DIV/0!</v>
      </c>
      <c r="G62" s="1955" t="s">
        <v>2285</v>
      </c>
      <c r="H62" s="1956" t="str">
        <f>项目基本情况!C43</f>
        <v>十级</v>
      </c>
      <c r="I62" s="1951">
        <f>SUMIF(修正!$A$45:$A$56,H62,修正!H45:H56)</f>
        <v>0.15</v>
      </c>
      <c r="J62" s="1555"/>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569</v>
      </c>
      <c r="B63" s="642" t="s">
        <v>17</v>
      </c>
      <c r="C63" s="642" t="s">
        <v>18</v>
      </c>
      <c r="D63" s="642" t="s">
        <v>2293</v>
      </c>
      <c r="E63" s="642">
        <f>IF(B43="楼面地价",SUM(E53:E62),'数据-汇总表'!D3)</f>
        <v>62101.4</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822" t="str">
        <f>YEAR(C9)&amp;"-"&amp;MONTH(C9)&amp;"-1"</f>
        <v>2018-5-1</v>
      </c>
      <c r="D65" s="2821">
        <f>EDATE(C65,-3)</f>
        <v>43132</v>
      </c>
      <c r="E65" s="2821">
        <f t="shared" ref="E65:N65" si="18">EDATE(D65,-3)</f>
        <v>43040</v>
      </c>
      <c r="F65" s="2821">
        <f t="shared" si="18"/>
        <v>42948</v>
      </c>
      <c r="G65" s="2821">
        <f t="shared" si="18"/>
        <v>42856</v>
      </c>
      <c r="H65" s="2821">
        <f t="shared" si="18"/>
        <v>42767</v>
      </c>
      <c r="I65" s="2821">
        <f t="shared" si="18"/>
        <v>42675</v>
      </c>
      <c r="J65" s="2821">
        <f t="shared" si="18"/>
        <v>42583</v>
      </c>
      <c r="K65" s="2821">
        <f t="shared" si="18"/>
        <v>42491</v>
      </c>
      <c r="L65" s="2821">
        <f t="shared" si="18"/>
        <v>42401</v>
      </c>
      <c r="M65" s="2821">
        <f t="shared" si="18"/>
        <v>42309</v>
      </c>
      <c r="N65" s="2821">
        <f t="shared" si="18"/>
        <v>42217</v>
      </c>
      <c r="O65" s="2143"/>
      <c r="P65" s="2143"/>
      <c r="Q65" s="2143"/>
      <c r="R65" s="2143"/>
      <c r="S65" s="2143"/>
      <c r="T65" s="2143"/>
      <c r="U65" s="2143"/>
      <c r="V65" s="2143"/>
      <c r="W65" s="2143"/>
      <c r="X65" s="2143"/>
      <c r="Y65" s="2143"/>
      <c r="Z65" s="2143"/>
      <c r="AA65" s="2143"/>
      <c r="AB65" s="2143"/>
      <c r="AC65" s="2143"/>
    </row>
    <row r="66" spans="1:29" ht="21.75" thickBot="1">
      <c r="A66" s="1581" t="s">
        <v>570</v>
      </c>
      <c r="B66" s="1556"/>
      <c r="C66" s="1580"/>
      <c r="D66" s="1580"/>
      <c r="E66" s="1580"/>
      <c r="F66" s="1582"/>
      <c r="G66" s="1582"/>
      <c r="H66" s="1580"/>
      <c r="I66" s="1580"/>
      <c r="J66" s="1580"/>
      <c r="K66" s="1583"/>
      <c r="L66" s="1579"/>
      <c r="M66" s="1580"/>
      <c r="N66" s="1580"/>
      <c r="O66" s="2155"/>
      <c r="P66" s="2155"/>
      <c r="Q66" s="2156"/>
      <c r="R66" s="2143"/>
      <c r="S66" s="2143"/>
      <c r="T66" s="2143"/>
      <c r="U66" s="2143"/>
      <c r="V66" s="2143"/>
      <c r="W66" s="2143"/>
      <c r="X66" s="2143"/>
      <c r="Y66" s="2143"/>
      <c r="Z66" s="2143"/>
      <c r="AA66" s="2143"/>
      <c r="AB66" s="2143"/>
      <c r="AC66" s="2143"/>
    </row>
    <row r="67" spans="1:29" s="1346" customFormat="1" ht="15">
      <c r="A67" s="2590" t="s">
        <v>2533</v>
      </c>
      <c r="B67" s="645"/>
      <c r="C67" s="2816" t="str">
        <f>YEAR(C65)&amp;"-"&amp;ROUNDUP(MONTH(C65)/3,0)</f>
        <v>2018-2</v>
      </c>
      <c r="D67" s="2823" t="str">
        <f t="shared" ref="D67:N67" si="19">YEAR(D65)&amp;"-"&amp;ROUNDUP(MONTH(D65)/3,0)</f>
        <v>2018-1</v>
      </c>
      <c r="E67" s="2823" t="str">
        <f t="shared" si="19"/>
        <v>2017-4</v>
      </c>
      <c r="F67" s="2823" t="str">
        <f t="shared" si="19"/>
        <v>2017-3</v>
      </c>
      <c r="G67" s="2823" t="str">
        <f t="shared" si="19"/>
        <v>2017-2</v>
      </c>
      <c r="H67" s="2823" t="str">
        <f t="shared" si="19"/>
        <v>2017-1</v>
      </c>
      <c r="I67" s="2823" t="str">
        <f t="shared" si="19"/>
        <v>2016-4</v>
      </c>
      <c r="J67" s="2823" t="str">
        <f t="shared" si="19"/>
        <v>2016-3</v>
      </c>
      <c r="K67" s="2823" t="str">
        <f t="shared" si="19"/>
        <v>2016-2</v>
      </c>
      <c r="L67" s="2823" t="str">
        <f t="shared" si="19"/>
        <v>2016-1</v>
      </c>
      <c r="M67" s="2823" t="str">
        <f t="shared" si="19"/>
        <v>2015-4</v>
      </c>
      <c r="N67" s="2823" t="str">
        <f t="shared" si="19"/>
        <v>2015-3</v>
      </c>
      <c r="O67" s="2157"/>
      <c r="P67" s="2158"/>
      <c r="Q67" s="2159"/>
      <c r="R67" s="2159"/>
      <c r="S67" s="2159"/>
      <c r="T67" s="2159"/>
      <c r="U67" s="2159"/>
      <c r="V67" s="2159"/>
      <c r="W67" s="2159"/>
      <c r="X67" s="2159"/>
      <c r="Y67" s="2159"/>
      <c r="Z67" s="2159"/>
      <c r="AA67" s="2159"/>
      <c r="AB67" s="2159"/>
      <c r="AC67" s="2159"/>
    </row>
    <row r="68" spans="1:29" s="1219" customFormat="1" ht="27.75" customHeight="1">
      <c r="A68" s="2820" t="s">
        <v>2649</v>
      </c>
      <c r="B68" s="478" t="str">
        <f>"北京市平均增长率"&amp;TEXT(基准地价!P24,"0.00%")</f>
        <v>北京市平均增长率1.35%</v>
      </c>
      <c r="C68" s="893">
        <v>100</v>
      </c>
      <c r="D68" s="729"/>
      <c r="E68" s="729"/>
      <c r="F68" s="729"/>
      <c r="G68" s="729"/>
      <c r="H68" s="729"/>
      <c r="I68" s="729"/>
      <c r="J68" s="729"/>
      <c r="K68" s="729"/>
      <c r="L68" s="729"/>
      <c r="M68" s="2814"/>
      <c r="N68" s="2815"/>
      <c r="O68" s="2160"/>
      <c r="P68" s="2156"/>
      <c r="Q68" s="1991"/>
      <c r="R68" s="1991"/>
      <c r="S68" s="1991"/>
      <c r="T68" s="1991"/>
      <c r="U68" s="1991"/>
      <c r="V68" s="1991"/>
      <c r="W68" s="1991"/>
      <c r="X68" s="1991"/>
      <c r="Y68" s="1991"/>
      <c r="Z68" s="1991"/>
      <c r="AA68" s="1991"/>
      <c r="AB68" s="1991"/>
      <c r="AC68" s="1991"/>
    </row>
    <row r="69" spans="1:29" s="1219" customFormat="1" ht="15.75" thickBot="1">
      <c r="A69" s="652" t="s">
        <v>571</v>
      </c>
      <c r="B69" s="653"/>
      <c r="C69" s="2812"/>
      <c r="D69" s="2813"/>
      <c r="E69" s="2813"/>
      <c r="F69" s="2813"/>
      <c r="G69" s="2813"/>
      <c r="H69" s="2813"/>
      <c r="I69" s="2813"/>
      <c r="J69" s="2813"/>
      <c r="K69" s="2813"/>
      <c r="L69" s="2813"/>
      <c r="M69" s="2813"/>
      <c r="N69" s="2813"/>
      <c r="O69" s="2160"/>
      <c r="P69" s="2156"/>
      <c r="Q69" s="2156"/>
      <c r="R69" s="1991"/>
      <c r="S69" s="1991"/>
      <c r="T69" s="1991"/>
      <c r="U69" s="1991"/>
      <c r="V69" s="1991"/>
      <c r="W69" s="1991"/>
      <c r="X69" s="1991"/>
      <c r="Y69" s="1991"/>
      <c r="Z69" s="1991"/>
      <c r="AA69" s="1991"/>
      <c r="AB69" s="1991"/>
      <c r="AC69" s="1991"/>
    </row>
    <row r="70" spans="1:29" s="1219" customFormat="1" ht="15">
      <c r="A70" s="658" t="s">
        <v>527</v>
      </c>
      <c r="B70" s="647"/>
      <c r="C70" s="659" t="s">
        <v>572</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573</v>
      </c>
      <c r="B72" s="664" t="s">
        <v>530</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533</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535</v>
      </c>
      <c r="B85" s="664" t="s">
        <v>598</v>
      </c>
      <c r="C85" s="702" t="s">
        <v>575</v>
      </c>
      <c r="D85" s="702" t="s">
        <v>576</v>
      </c>
      <c r="E85" s="702" t="s">
        <v>577</v>
      </c>
      <c r="F85" s="702" t="s">
        <v>578</v>
      </c>
      <c r="G85" s="702" t="s">
        <v>579</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582</v>
      </c>
      <c r="C87" s="707" t="s">
        <v>575</v>
      </c>
      <c r="D87" s="707" t="s">
        <v>576</v>
      </c>
      <c r="E87" s="707" t="s">
        <v>577</v>
      </c>
      <c r="F87" s="707" t="s">
        <v>578</v>
      </c>
      <c r="G87" s="707" t="s">
        <v>579</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583</v>
      </c>
      <c r="C89" s="707" t="s">
        <v>575</v>
      </c>
      <c r="D89" s="707" t="s">
        <v>576</v>
      </c>
      <c r="E89" s="707" t="s">
        <v>577</v>
      </c>
      <c r="F89" s="707" t="s">
        <v>578</v>
      </c>
      <c r="G89" s="707" t="s">
        <v>579</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584</v>
      </c>
      <c r="C91" s="702" t="s">
        <v>575</v>
      </c>
      <c r="D91" s="702" t="s">
        <v>576</v>
      </c>
      <c r="E91" s="702" t="s">
        <v>577</v>
      </c>
      <c r="F91" s="702" t="s">
        <v>578</v>
      </c>
      <c r="G91" s="702" t="s">
        <v>579</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2548</v>
      </c>
      <c r="C93" s="702" t="s">
        <v>575</v>
      </c>
      <c r="D93" s="702" t="s">
        <v>576</v>
      </c>
      <c r="E93" s="702" t="s">
        <v>577</v>
      </c>
      <c r="F93" s="702" t="s">
        <v>578</v>
      </c>
      <c r="G93" s="702" t="s">
        <v>579</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619" t="s">
        <v>2550</v>
      </c>
      <c r="C95" s="2620" t="s">
        <v>2551</v>
      </c>
      <c r="D95" s="2620" t="s">
        <v>2552</v>
      </c>
      <c r="E95" s="2620" t="s">
        <v>2553</v>
      </c>
      <c r="F95" s="2620" t="s">
        <v>2554</v>
      </c>
      <c r="G95" s="2620" t="s">
        <v>2555</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2"/>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585</v>
      </c>
      <c r="D97" s="673" t="s">
        <v>586</v>
      </c>
      <c r="E97" s="673" t="s">
        <v>587</v>
      </c>
      <c r="F97" s="673" t="s">
        <v>588</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544</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545</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1" t="str">
        <f t="shared" si="25"/>
        <v>(含)-</v>
      </c>
      <c r="L109" s="3112" t="str">
        <f t="shared" si="25"/>
        <v>(含)-</v>
      </c>
      <c r="M109" s="3113"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590</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2425</v>
      </c>
      <c r="C114" s="1374"/>
      <c r="D114" s="1374"/>
      <c r="E114" s="1374"/>
      <c r="F114" s="1374"/>
      <c r="G114" s="1374"/>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592</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1691</v>
      </c>
      <c r="B1" s="1397"/>
      <c r="C1" s="1403" t="s">
        <v>2426</v>
      </c>
      <c r="D1" s="1518">
        <f>SUM(D29:D30,D33:D39)</f>
        <v>0</v>
      </c>
      <c r="E1" s="1403" t="s">
        <v>2427</v>
      </c>
      <c r="F1" s="2474"/>
      <c r="G1" s="1398"/>
      <c r="H1" s="1398"/>
      <c r="I1" s="1398"/>
      <c r="J1" s="1398"/>
      <c r="K1" s="1398"/>
      <c r="L1" s="1880" t="s">
        <v>2237</v>
      </c>
      <c r="M1" s="1881">
        <f>SUMPRODUCT((区片价!B5:B9=I2)*(区片价!C3:F3=E2)*(区片价!C5:F9))</f>
        <v>0</v>
      </c>
      <c r="N1" s="1882">
        <f>SUMPRODUCT((因素修正幅度!B5:B9=I2)*(因素修正幅度!C3:F3=E2)*(因素修正幅度!C5:F9))</f>
        <v>0</v>
      </c>
      <c r="O1" s="2187"/>
      <c r="P1" s="2187"/>
      <c r="Q1" s="2187"/>
      <c r="R1" s="2958" t="s">
        <v>2762</v>
      </c>
      <c r="S1" s="2958" t="s">
        <v>2763</v>
      </c>
      <c r="T1" s="2958" t="s">
        <v>2784</v>
      </c>
      <c r="U1" s="2958" t="s">
        <v>2785</v>
      </c>
      <c r="V1" s="2958" t="s">
        <v>2786</v>
      </c>
      <c r="W1" s="2187"/>
      <c r="X1" s="2187"/>
      <c r="Y1" s="2187"/>
      <c r="Z1" s="2187"/>
      <c r="AA1" s="2187"/>
      <c r="AB1" s="2187"/>
      <c r="AC1" s="2188"/>
    </row>
    <row r="2" spans="1:39" ht="15.75">
      <c r="A2" s="1403" t="s">
        <v>916</v>
      </c>
      <c r="B2" s="1037" t="e">
        <f>C26</f>
        <v>#DIV/0!</v>
      </c>
      <c r="C2" s="1404" t="s">
        <v>917</v>
      </c>
      <c r="D2" s="1405" t="s">
        <v>918</v>
      </c>
      <c r="E2" s="1406"/>
      <c r="F2" s="1405" t="s">
        <v>920</v>
      </c>
      <c r="G2" s="1649">
        <f>IF(E2="商业",项目基本情况!B43,IF(E2="办公",项目基本情况!C43,IF(E2="住宅",项目基本情况!D43,项目基本情况!E43)))</f>
        <v>0</v>
      </c>
      <c r="H2" s="1405" t="s">
        <v>922</v>
      </c>
      <c r="I2" s="1650">
        <f>IF(E2="商业",项目基本情况!B44,IF(E2="办公",项目基本情况!C44,IF(E2="住宅",项目基本情况!D44,项目基本情况!E44)))</f>
        <v>0</v>
      </c>
      <c r="J2" s="1407"/>
      <c r="K2" s="1398"/>
      <c r="L2" s="1883" t="s">
        <v>2238</v>
      </c>
      <c r="M2" s="1884">
        <f>SUMPRODUCT((区片价!B10:B28=I2)*(区片价!C3:F3=E2)*(区片价!C10:F28))</f>
        <v>0</v>
      </c>
      <c r="N2" s="1885">
        <f>SUMPRODUCT((因素修正幅度!B10:B28=I2)*(因素修正幅度!C3:F3=E2)*(因素修正幅度!C10:F28))</f>
        <v>0</v>
      </c>
      <c r="O2" s="2187"/>
      <c r="P2" s="2187"/>
      <c r="Q2" s="2187"/>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7"/>
      <c r="X2" s="2187"/>
      <c r="Y2" s="2187"/>
      <c r="Z2" s="2187"/>
      <c r="AA2" s="2187"/>
      <c r="AB2" s="2187"/>
      <c r="AC2" s="2188"/>
    </row>
    <row r="3" spans="1:39" ht="15.75">
      <c r="A3" s="1408" t="s">
        <v>1684</v>
      </c>
      <c r="B3" s="1037" t="e">
        <f>ROUND(B2*10000/D1,0)</f>
        <v>#DIV/0!</v>
      </c>
      <c r="C3" s="1404" t="s">
        <v>923</v>
      </c>
      <c r="D3" s="1405" t="s">
        <v>924</v>
      </c>
      <c r="E3" s="1409"/>
      <c r="F3" s="1410" t="s">
        <v>2935</v>
      </c>
      <c r="G3" s="1038">
        <f>IF(F3="宗地容积率",'数据-汇总表'!I4,IF(F3="估价对象容积率",'数据-汇总表'!I6,'数据-汇总表'!I7))</f>
        <v>1.5</v>
      </c>
      <c r="H3" s="1411" t="s">
        <v>925</v>
      </c>
      <c r="I3" s="1039">
        <v>8</v>
      </c>
      <c r="J3" s="1407" t="s">
        <v>926</v>
      </c>
      <c r="K3" s="1398"/>
      <c r="L3" s="1883" t="s">
        <v>2239</v>
      </c>
      <c r="M3" s="1884">
        <f>SUMPRODUCT((区片价!B29:B48=I2)*(区片价!C3:F3=E2)*(区片价!C29:F48))</f>
        <v>0</v>
      </c>
      <c r="N3" s="1885">
        <f>SUMPRODUCT((因素修正幅度!B29:B48=I2)*(因素修正幅度!C3:F3=E2)*(因素修正幅度!C29:F48))</f>
        <v>0</v>
      </c>
      <c r="O3" s="2187"/>
      <c r="P3" s="2187"/>
      <c r="Q3" s="2187"/>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7"/>
      <c r="X3" s="2187"/>
      <c r="Y3" s="2187"/>
      <c r="Z3" s="2187"/>
      <c r="AA3" s="2187"/>
      <c r="AB3" s="2187"/>
      <c r="AC3" s="2188"/>
    </row>
    <row r="4" spans="1:39" ht="28.5">
      <c r="A4" s="1889" t="s">
        <v>2279</v>
      </c>
      <c r="B4" s="2475" t="e">
        <f>ROUND(B2*10000/F1,0)</f>
        <v>#DIV/0!</v>
      </c>
      <c r="C4" s="1892" t="s">
        <v>2253</v>
      </c>
      <c r="D4" s="1892" t="e">
        <f>ROUND(B2/(F1/666.67),0)</f>
        <v>#DIV/0!</v>
      </c>
      <c r="E4" s="1892" t="s">
        <v>2254</v>
      </c>
      <c r="F4" s="1890"/>
      <c r="G4" s="1890"/>
      <c r="H4" s="1890"/>
      <c r="I4" s="1890"/>
      <c r="J4" s="1891"/>
      <c r="K4" s="1398"/>
      <c r="L4" s="1883" t="s">
        <v>2240</v>
      </c>
      <c r="M4" s="1884">
        <f>SUMPRODUCT((区片价!B49:B75=I2)*(区片价!C3:F3=E2)*(区片价!C49:F75))</f>
        <v>0</v>
      </c>
      <c r="N4" s="1885">
        <f>SUMPRODUCT((因素修正幅度!B49:B75=I2)*(因素修正幅度!C3:F3=E2)*(因素修正幅度!C49:F75))</f>
        <v>0</v>
      </c>
      <c r="O4" s="2187"/>
      <c r="P4" s="2187"/>
      <c r="Q4" s="2187"/>
      <c r="R4" s="2959">
        <v>3</v>
      </c>
      <c r="S4" s="2959">
        <f>ROUND(IF(G3&gt;1,IF(R4&lt;7,SUMPRODUCT((B93:B98=R4)*(C92:N92=G2)*(C93:N98)),SUMIF(C92:N92,G2,C100:N100)),IF(R4&lt;7,SUMPRODUCT((B102:B107=R4)*(C92:N92=G2)*(C102:N107)),SUMIF(C92:N92,G2,C109:N109))),4)</f>
        <v>0</v>
      </c>
      <c r="T4" s="2959" t="e">
        <f t="shared" si="0"/>
        <v>#DIV/0!</v>
      </c>
      <c r="U4" s="2948"/>
      <c r="V4" s="2959" t="e">
        <f t="shared" si="1"/>
        <v>#DIV/0!</v>
      </c>
      <c r="W4" s="2187"/>
      <c r="X4" s="2187"/>
      <c r="Y4" s="2187"/>
      <c r="Z4" s="2187"/>
      <c r="AA4" s="2187"/>
      <c r="AB4" s="2187"/>
      <c r="AC4" s="2188"/>
    </row>
    <row r="5" spans="1:39" s="1418" customFormat="1" ht="15.75" thickBot="1">
      <c r="A5" s="1635" t="s">
        <v>1820</v>
      </c>
      <c r="B5" s="1412" t="s">
        <v>927</v>
      </c>
      <c r="C5" s="1040" t="e">
        <f>ROUND(IF(E2="商业",IF(F16="增加",C6*C7+C16,C6*C7-C16),IF(E2="住宅",IF(F16="增加",C6*C12+C16,C6*C12-C16),IF(F16="增加",C6+C16,C6-C16))),0)</f>
        <v>#DIV/0!</v>
      </c>
      <c r="D5" s="3143">
        <f>ROUND(IF(E2="商业",IF(F16="增加",C6+C16,C6-C16)),0)</f>
        <v>0</v>
      </c>
      <c r="E5" s="1413"/>
      <c r="F5" s="1413"/>
      <c r="G5" s="1414"/>
      <c r="H5" s="1414"/>
      <c r="I5" s="1414"/>
      <c r="J5" s="1415"/>
      <c r="K5" s="1591"/>
      <c r="L5" s="1883" t="s">
        <v>2241</v>
      </c>
      <c r="M5" s="1884">
        <f>SUMPRODUCT((区片价!B76:B109=I2)*(区片价!C3:F3=E2)*(区片价!C76:F109))</f>
        <v>0</v>
      </c>
      <c r="N5" s="1885">
        <f>SUMPRODUCT((因素修正幅度!B76:B109=I2)*(因素修正幅度!C3:F3=E2)*(因素修正幅度!C76:F109))</f>
        <v>0</v>
      </c>
      <c r="O5" s="2187"/>
      <c r="P5" s="2187"/>
      <c r="Q5" s="2187"/>
      <c r="R5" s="2959">
        <v>4</v>
      </c>
      <c r="S5" s="2959">
        <f>ROUND(IF(G3&gt;1,IF(R5&lt;7,SUMPRODUCT((B93:B98=R5)*(C92:N92=G2)*(C93:N98)),SUMIF(C92:N92,G2,C100:N100)),IF(R5&lt;7,SUMPRODUCT((B102:B107=R5)*(C92:N92=G2)*(C102:N107)),SUMIF(C92:N92,G2,C109:N109))),4)</f>
        <v>0</v>
      </c>
      <c r="T5" s="2959" t="e">
        <f t="shared" si="0"/>
        <v>#DIV/0!</v>
      </c>
      <c r="U5" s="2948"/>
      <c r="V5" s="2959" t="e">
        <f t="shared" si="1"/>
        <v>#DIV/0!</v>
      </c>
      <c r="W5" s="2187"/>
      <c r="X5" s="2187"/>
      <c r="Y5" s="2187"/>
      <c r="Z5" s="2187"/>
      <c r="AA5" s="2187"/>
      <c r="AB5" s="2187"/>
      <c r="AC5" s="2189"/>
      <c r="AD5" s="1416"/>
      <c r="AE5" s="1416"/>
      <c r="AF5" s="1416"/>
      <c r="AG5" s="1416"/>
      <c r="AH5" s="1416"/>
      <c r="AI5" s="1416"/>
      <c r="AJ5" s="1417"/>
      <c r="AK5" s="1417"/>
      <c r="AL5" s="1417"/>
      <c r="AM5" s="1417"/>
    </row>
    <row r="6" spans="1:39" ht="15.75" thickBot="1">
      <c r="A6" s="1636" t="s">
        <v>1867</v>
      </c>
      <c r="B6" s="1419" t="s">
        <v>927</v>
      </c>
      <c r="C6" s="1041">
        <f>SUMIF(L1:L12,基准地价!G2,M1:M12)</f>
        <v>0</v>
      </c>
      <c r="D6" s="1420" t="s">
        <v>1692</v>
      </c>
      <c r="E6" s="1421"/>
      <c r="F6" s="1421"/>
      <c r="G6" s="1422"/>
      <c r="H6" s="1422"/>
      <c r="I6" s="1422"/>
      <c r="J6" s="1423"/>
      <c r="K6" s="1592"/>
      <c r="L6" s="1883" t="s">
        <v>2242</v>
      </c>
      <c r="M6" s="1884">
        <f>SUMPRODUCT((区片价!B110:B157=I2)*(区片价!C3:F3=E2)*(区片价!C110:F157))</f>
        <v>0</v>
      </c>
      <c r="N6" s="1885">
        <f>SUMPRODUCT((因素修正幅度!B110:B157=I2)*(因素修正幅度!C3:F3=E2)*(因素修正幅度!C110:F157))</f>
        <v>0</v>
      </c>
      <c r="O6" s="2187"/>
      <c r="P6" s="2187"/>
      <c r="Q6" s="2187"/>
      <c r="R6" s="2959">
        <v>5</v>
      </c>
      <c r="S6" s="2959">
        <f>ROUND(IF(G3&gt;1,IF(R6&lt;7,SUMPRODUCT((B93:B98=R6)*(C92:N92=G2)*(C93:N98)),SUMIF(C92:N92,G2,C100:N100)),IF(R6&lt;7,SUMPRODUCT((B102:B107=R6)*(C92:N92=G2)*(C102:N107)),SUMIF(C92:N92,G2,C109:N109))),4)</f>
        <v>0</v>
      </c>
      <c r="T6" s="2959" t="e">
        <f t="shared" si="0"/>
        <v>#DIV/0!</v>
      </c>
      <c r="U6" s="2948"/>
      <c r="V6" s="2959" t="e">
        <f t="shared" si="1"/>
        <v>#DIV/0!</v>
      </c>
      <c r="W6" s="2187"/>
      <c r="X6" s="2187"/>
      <c r="Y6" s="2187"/>
      <c r="Z6" s="2187"/>
      <c r="AA6" s="2187"/>
      <c r="AB6" s="2187"/>
      <c r="AC6" s="2189"/>
      <c r="AD6" s="1416"/>
      <c r="AE6" s="1416"/>
      <c r="AF6" s="1416"/>
      <c r="AG6" s="1416"/>
      <c r="AH6" s="1416"/>
      <c r="AI6" s="1416"/>
      <c r="AJ6" s="1417"/>
    </row>
    <row r="7" spans="1:39" ht="24">
      <c r="A7" s="3484" t="str">
        <f>IF(E2="商业",IF(C8="不临58条商业街","",2),"")</f>
        <v/>
      </c>
      <c r="B7" s="1424" t="s">
        <v>928</v>
      </c>
      <c r="C7" s="1042" t="e">
        <f>IF(C8="不临58条商业街",1,ROUND(1+(1.6*E8+1.2*E9+0.8*E10+0.4*E11)*C9,4))</f>
        <v>#DIV/0!</v>
      </c>
      <c r="D7" s="1425" t="s">
        <v>929</v>
      </c>
      <c r="E7" s="1043"/>
      <c r="F7" s="1426"/>
      <c r="G7" s="1427"/>
      <c r="H7" s="1427"/>
      <c r="I7" s="1427"/>
      <c r="J7" s="1428"/>
      <c r="K7" s="1592"/>
      <c r="L7" s="1883" t="s">
        <v>2243</v>
      </c>
      <c r="M7" s="1884">
        <f>SUMPRODUCT((区片价!B158:B205=I2)*(区片价!C3:F3=E2)*(区片价!C158:F205))</f>
        <v>0</v>
      </c>
      <c r="N7" s="1885">
        <f>SUMPRODUCT((因素修正幅度!B158:B205=I2)*(因素修正幅度!C3:F3=E2)*(因素修正幅度!C158:F205))</f>
        <v>0</v>
      </c>
      <c r="O7" s="2187"/>
      <c r="P7" s="2187"/>
      <c r="Q7" s="2187"/>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2765</v>
      </c>
      <c r="X7" s="2949">
        <f>G2</f>
        <v>0</v>
      </c>
      <c r="Y7" s="2949" t="s">
        <v>2766</v>
      </c>
      <c r="Z7" s="2950">
        <f>G3</f>
        <v>1.5</v>
      </c>
      <c r="AA7" s="2190"/>
      <c r="AB7" s="2190"/>
      <c r="AC7" s="2191"/>
      <c r="AD7" s="2951"/>
      <c r="AE7" s="2951"/>
      <c r="AF7" s="2951"/>
      <c r="AG7" s="2951"/>
      <c r="AH7" s="2951"/>
      <c r="AI7" s="2951"/>
      <c r="AJ7" s="2952"/>
    </row>
    <row r="8" spans="1:39" ht="15">
      <c r="A8" s="3485"/>
      <c r="B8" s="1411" t="s">
        <v>930</v>
      </c>
      <c r="C8" s="1526"/>
      <c r="D8" s="1044" t="s">
        <v>931</v>
      </c>
      <c r="E8" s="1045" t="e">
        <f>ROUND(C11/E7,4)</f>
        <v>#DIV/0!</v>
      </c>
      <c r="F8" s="1429" t="s">
        <v>932</v>
      </c>
      <c r="G8" s="1430"/>
      <c r="H8" s="1430"/>
      <c r="I8" s="1430"/>
      <c r="J8" s="1431"/>
      <c r="K8" s="1398"/>
      <c r="L8" s="1883" t="s">
        <v>2244</v>
      </c>
      <c r="M8" s="1884">
        <f>SUMPRODUCT((区片价!B206:B244=I2)*(区片价!C3:F3=E2)*(区片价!C206:F244))</f>
        <v>0</v>
      </c>
      <c r="N8" s="1885">
        <f>SUMPRODUCT((因素修正幅度!B206:B244=I2)*(因素修正幅度!C3:F3=E2)*(因素修正幅度!C206:F244))</f>
        <v>0</v>
      </c>
      <c r="O8" s="2187"/>
      <c r="P8" s="2187"/>
      <c r="Q8" s="2187"/>
      <c r="R8" s="2959">
        <v>7</v>
      </c>
      <c r="S8" s="2948"/>
      <c r="T8" s="2959" t="e">
        <f t="shared" si="0"/>
        <v>#DIV/0!</v>
      </c>
      <c r="U8" s="2948"/>
      <c r="V8" s="2959" t="e">
        <f t="shared" si="1"/>
        <v>#DIV/0!</v>
      </c>
      <c r="W8" s="3476" t="s">
        <v>2783</v>
      </c>
      <c r="X8" s="3477"/>
      <c r="Y8" s="1847" t="s">
        <v>2767</v>
      </c>
      <c r="Z8" s="1847" t="s">
        <v>2768</v>
      </c>
      <c r="AA8" s="1847" t="s">
        <v>2769</v>
      </c>
      <c r="AB8" s="1847" t="s">
        <v>2770</v>
      </c>
      <c r="AC8" s="1847" t="s">
        <v>2771</v>
      </c>
      <c r="AD8" s="1847" t="s">
        <v>2772</v>
      </c>
      <c r="AE8" s="1847" t="s">
        <v>2773</v>
      </c>
      <c r="AF8" s="1847" t="s">
        <v>2774</v>
      </c>
      <c r="AG8" s="1847" t="s">
        <v>2775</v>
      </c>
      <c r="AH8" s="1847" t="s">
        <v>2776</v>
      </c>
      <c r="AI8" s="1847" t="s">
        <v>2777</v>
      </c>
      <c r="AJ8" s="1847" t="s">
        <v>2778</v>
      </c>
    </row>
    <row r="9" spans="1:39" ht="15">
      <c r="A9" s="3485"/>
      <c r="B9" s="1411" t="s">
        <v>933</v>
      </c>
      <c r="C9" s="1046">
        <f>SUMIF(修正!C59:C119,C8,修正!E59:E119)</f>
        <v>0</v>
      </c>
      <c r="D9" s="1047" t="s">
        <v>934</v>
      </c>
      <c r="E9" s="1047" t="e">
        <f>ROUND(C11/E7,4)</f>
        <v>#DIV/0!</v>
      </c>
      <c r="F9" s="1429" t="s">
        <v>935</v>
      </c>
      <c r="G9" s="1430"/>
      <c r="H9" s="1430"/>
      <c r="I9" s="1430"/>
      <c r="J9" s="1431"/>
      <c r="K9" s="1398"/>
      <c r="L9" s="1883" t="s">
        <v>2245</v>
      </c>
      <c r="M9" s="1884">
        <f>SUMPRODUCT((区片价!B245:B289=I2)*(区片价!C3:F3=E2)*(区片价!C245:F289))</f>
        <v>0</v>
      </c>
      <c r="N9" s="1885">
        <f>SUMPRODUCT((因素修正幅度!B245:B289=I2)*(因素修正幅度!C3:F3=E2)*(因素修正幅度!C245:F289))</f>
        <v>0</v>
      </c>
      <c r="O9" s="2187"/>
      <c r="P9" s="2187"/>
      <c r="Q9" s="2187"/>
      <c r="R9" s="2959">
        <v>8</v>
      </c>
      <c r="S9" s="2948"/>
      <c r="T9" s="2959" t="e">
        <f t="shared" si="0"/>
        <v>#DIV/0!</v>
      </c>
      <c r="U9" s="2948"/>
      <c r="V9" s="2959" t="e">
        <f t="shared" si="1"/>
        <v>#DIV/0!</v>
      </c>
      <c r="W9" s="3475" t="s">
        <v>2779</v>
      </c>
      <c r="X9" s="2953" t="s">
        <v>2780</v>
      </c>
      <c r="Y9" s="3117"/>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85"/>
      <c r="B10" s="1411" t="s">
        <v>936</v>
      </c>
      <c r="C10" s="1047">
        <f>SUMIF(修正!C59:C119,C8,修正!F59:F119)</f>
        <v>0</v>
      </c>
      <c r="D10" s="1047" t="s">
        <v>937</v>
      </c>
      <c r="E10" s="1047" t="e">
        <f>ROUND(C11/E7,4)</f>
        <v>#DIV/0!</v>
      </c>
      <c r="F10" s="1429" t="s">
        <v>938</v>
      </c>
      <c r="G10" s="1430"/>
      <c r="H10" s="1430"/>
      <c r="I10" s="1430"/>
      <c r="J10" s="1431"/>
      <c r="K10" s="1398"/>
      <c r="L10" s="1883" t="s">
        <v>2246</v>
      </c>
      <c r="M10" s="1884">
        <f>SUMPRODUCT((区片价!B290:B316=I2)*(区片价!C3:F3=E2)*(区片价!C290:F316))</f>
        <v>0</v>
      </c>
      <c r="N10" s="1885">
        <f>SUMPRODUCT((因素修正幅度!B290:B316=I2)*(因素修正幅度!C3:F3=E2)*(因素修正幅度!C290:F316))</f>
        <v>0</v>
      </c>
      <c r="O10" s="2187"/>
      <c r="P10" s="2187"/>
      <c r="Q10" s="2187"/>
      <c r="R10" s="2959">
        <v>9</v>
      </c>
      <c r="S10" s="2948"/>
      <c r="T10" s="2959" t="e">
        <f t="shared" si="0"/>
        <v>#DIV/0!</v>
      </c>
      <c r="U10" s="2948"/>
      <c r="V10" s="2959" t="e">
        <f t="shared" si="1"/>
        <v>#DIV/0!</v>
      </c>
      <c r="W10" s="3475"/>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85"/>
      <c r="B11" s="1432" t="s">
        <v>939</v>
      </c>
      <c r="C11" s="1048">
        <f>C10/4</f>
        <v>0</v>
      </c>
      <c r="D11" s="1048" t="s">
        <v>940</v>
      </c>
      <c r="E11" s="1048" t="e">
        <f>ROUND(C11/E7,4)</f>
        <v>#DIV/0!</v>
      </c>
      <c r="F11" s="1433" t="s">
        <v>941</v>
      </c>
      <c r="G11" s="1434"/>
      <c r="H11" s="1434"/>
      <c r="I11" s="1434"/>
      <c r="J11" s="1435"/>
      <c r="K11" s="1398"/>
      <c r="L11" s="1883" t="s">
        <v>2247</v>
      </c>
      <c r="M11" s="1884">
        <f>SUMPRODUCT((区片价!B317:B337=I2)*(区片价!C3:F3=E2)*(区片价!C317:F337))</f>
        <v>0</v>
      </c>
      <c r="N11" s="1885">
        <f>SUMPRODUCT((因素修正幅度!B317:B337=I2)*(因素修正幅度!C3:F3=E2)*(因素修正幅度!C317:F337))</f>
        <v>0</v>
      </c>
      <c r="O11" s="2187"/>
      <c r="P11" s="2187"/>
      <c r="Q11" s="2187"/>
      <c r="R11" s="2959">
        <v>10</v>
      </c>
      <c r="S11" s="2948"/>
      <c r="T11" s="2959" t="e">
        <f t="shared" si="0"/>
        <v>#DIV/0!</v>
      </c>
      <c r="U11" s="2948"/>
      <c r="V11" s="2959" t="e">
        <f t="shared" si="1"/>
        <v>#DIV/0!</v>
      </c>
      <c r="W11" s="3475" t="s">
        <v>2781</v>
      </c>
      <c r="X11" s="1047" t="s">
        <v>2766</v>
      </c>
      <c r="Y11" s="1650">
        <f>$G$3</f>
        <v>1.5</v>
      </c>
      <c r="Z11" s="1650">
        <f t="shared" ref="Z11:AJ11" si="3">$G$3</f>
        <v>1.5</v>
      </c>
      <c r="AA11" s="1650">
        <f t="shared" si="3"/>
        <v>1.5</v>
      </c>
      <c r="AB11" s="1650">
        <f t="shared" si="3"/>
        <v>1.5</v>
      </c>
      <c r="AC11" s="1650">
        <f t="shared" si="3"/>
        <v>1.5</v>
      </c>
      <c r="AD11" s="1650">
        <f t="shared" si="3"/>
        <v>1.5</v>
      </c>
      <c r="AE11" s="1650">
        <f t="shared" si="3"/>
        <v>1.5</v>
      </c>
      <c r="AF11" s="1650">
        <f t="shared" si="3"/>
        <v>1.5</v>
      </c>
      <c r="AG11" s="1650">
        <f t="shared" si="3"/>
        <v>1.5</v>
      </c>
      <c r="AH11" s="1650">
        <f t="shared" si="3"/>
        <v>1.5</v>
      </c>
      <c r="AI11" s="1650">
        <f t="shared" si="3"/>
        <v>1.5</v>
      </c>
      <c r="AJ11" s="1650">
        <f t="shared" si="3"/>
        <v>1.5</v>
      </c>
    </row>
    <row r="12" spans="1:39" ht="25.5" thickBot="1">
      <c r="A12" s="3484" t="s">
        <v>1868</v>
      </c>
      <c r="B12" s="1436" t="s">
        <v>942</v>
      </c>
      <c r="C12" s="1042">
        <f>ROUND(C15*D15*E15*F15*G15*H15*I15*J15,4)</f>
        <v>1</v>
      </c>
      <c r="D12" s="1437" t="s">
        <v>943</v>
      </c>
      <c r="E12" s="1438"/>
      <c r="F12" s="1438"/>
      <c r="G12" s="1439"/>
      <c r="H12" s="1439"/>
      <c r="I12" s="1439"/>
      <c r="J12" s="1440"/>
      <c r="K12" s="1398"/>
      <c r="L12" s="1886" t="s">
        <v>2248</v>
      </c>
      <c r="M12" s="1887">
        <f>SUMPRODUCT((区片价!B338:B344=I2)*(区片价!C3:F3=E2)*(区片价!C338:F344))</f>
        <v>0</v>
      </c>
      <c r="N12" s="1888">
        <f>SUMPRODUCT((因素修正幅度!B338:B344=I2)*(因素修正幅度!C3:F3=E2)*(因素修正幅度!C338:F344))</f>
        <v>0</v>
      </c>
      <c r="O12" s="2187"/>
      <c r="P12" s="2187"/>
      <c r="Q12" s="2187"/>
      <c r="R12" s="2959">
        <v>11</v>
      </c>
      <c r="S12" s="2948"/>
      <c r="T12" s="2959" t="e">
        <f t="shared" si="0"/>
        <v>#DIV/0!</v>
      </c>
      <c r="U12" s="2948"/>
      <c r="V12" s="2959" t="e">
        <f t="shared" si="1"/>
        <v>#DIV/0!</v>
      </c>
      <c r="W12" s="3475"/>
      <c r="X12" s="2956" t="s">
        <v>2782</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86"/>
      <c r="B13" s="1441" t="s">
        <v>1693</v>
      </c>
      <c r="C13" s="1442" t="s">
        <v>1694</v>
      </c>
      <c r="D13" s="1088" t="s">
        <v>1695</v>
      </c>
      <c r="E13" s="1088" t="s">
        <v>1696</v>
      </c>
      <c r="F13" s="1443" t="s">
        <v>944</v>
      </c>
      <c r="G13" s="1444" t="s">
        <v>1639</v>
      </c>
      <c r="H13" s="1445" t="s">
        <v>1639</v>
      </c>
      <c r="I13" s="1446" t="s">
        <v>1639</v>
      </c>
      <c r="J13" s="1447" t="s">
        <v>1639</v>
      </c>
      <c r="K13" s="1398"/>
      <c r="L13" s="2187"/>
      <c r="M13" s="2187"/>
      <c r="N13" s="2187"/>
      <c r="O13" s="2187"/>
      <c r="P13" s="2187"/>
      <c r="Q13" s="2187"/>
      <c r="R13" s="2959">
        <v>12</v>
      </c>
      <c r="S13" s="2948"/>
      <c r="T13" s="2959" t="e">
        <f t="shared" si="0"/>
        <v>#DIV/0!</v>
      </c>
      <c r="U13" s="2948"/>
      <c r="V13" s="2959" t="e">
        <f t="shared" si="1"/>
        <v>#DIV/0!</v>
      </c>
      <c r="W13" s="3475"/>
      <c r="X13" s="2956"/>
      <c r="Y13" s="2955">
        <f>(-0.163*(Y12^2)-0.59*Y12+7617)*(10^(-4))/Y11</f>
        <v>0.50780000000000003</v>
      </c>
      <c r="Z13" s="2955">
        <f t="shared" ref="Z13:AJ13" si="5">(-0.163*(Z12^2)-0.59*Z12+7617)*(10^(-4))/Z11</f>
        <v>0.50780000000000003</v>
      </c>
      <c r="AA13" s="2955">
        <f t="shared" si="5"/>
        <v>0.50780000000000003</v>
      </c>
      <c r="AB13" s="2955">
        <f t="shared" si="5"/>
        <v>0.50780000000000003</v>
      </c>
      <c r="AC13" s="2955">
        <f t="shared" si="5"/>
        <v>0.50780000000000003</v>
      </c>
      <c r="AD13" s="2955">
        <f t="shared" si="5"/>
        <v>0.50780000000000003</v>
      </c>
      <c r="AE13" s="2955">
        <f t="shared" si="5"/>
        <v>0.50780000000000003</v>
      </c>
      <c r="AF13" s="2955">
        <f t="shared" si="5"/>
        <v>0.50780000000000003</v>
      </c>
      <c r="AG13" s="2955">
        <f t="shared" si="5"/>
        <v>0.50780000000000003</v>
      </c>
      <c r="AH13" s="2955">
        <f t="shared" si="5"/>
        <v>0.50780000000000003</v>
      </c>
      <c r="AI13" s="2955">
        <f t="shared" si="5"/>
        <v>0.50780000000000003</v>
      </c>
      <c r="AJ13" s="2955">
        <f t="shared" si="5"/>
        <v>0.50780000000000003</v>
      </c>
    </row>
    <row r="14" spans="1:39" ht="12.75" customHeight="1" thickBot="1">
      <c r="A14" s="3486"/>
      <c r="B14" s="1448"/>
      <c r="C14" s="1449"/>
      <c r="D14" s="1450"/>
      <c r="E14" s="1450"/>
      <c r="F14" s="1451"/>
      <c r="G14" s="1452" t="s">
        <v>945</v>
      </c>
      <c r="H14" s="1453"/>
      <c r="I14" s="1454"/>
      <c r="J14" s="1455"/>
      <c r="K14" s="1398"/>
      <c r="L14" s="2187"/>
      <c r="M14" s="2187"/>
      <c r="N14" s="2187"/>
      <c r="O14" s="2187"/>
      <c r="P14" s="2187"/>
      <c r="Q14" s="2187"/>
      <c r="R14" s="2959">
        <v>13</v>
      </c>
      <c r="S14" s="2948"/>
      <c r="T14" s="2959" t="e">
        <f t="shared" si="0"/>
        <v>#DIV/0!</v>
      </c>
      <c r="U14" s="2948"/>
      <c r="V14" s="2959" t="e">
        <f t="shared" si="1"/>
        <v>#DIV/0!</v>
      </c>
      <c r="W14" s="2187"/>
      <c r="X14" s="2187"/>
      <c r="Y14" s="2187"/>
      <c r="Z14" s="2187"/>
      <c r="AA14" s="2187"/>
      <c r="AB14" s="2187"/>
      <c r="AC14" s="2188"/>
    </row>
    <row r="15" spans="1:39" ht="13.5" customHeight="1" thickBot="1">
      <c r="A15" s="3487"/>
      <c r="B15" s="1456" t="s">
        <v>1697</v>
      </c>
      <c r="C15" s="1050">
        <f>IF(C14="有",1.1,1)</f>
        <v>1</v>
      </c>
      <c r="D15" s="1050">
        <f>IF(D14="有",1.1,1)</f>
        <v>1</v>
      </c>
      <c r="E15" s="1050">
        <f>IF(E14="有",1.1,1)</f>
        <v>1</v>
      </c>
      <c r="F15" s="1050">
        <f>IF(F14="500米范围内",1.2,IF(F14="500-1000米",1.1,1))</f>
        <v>1</v>
      </c>
      <c r="G15" s="1051">
        <v>1</v>
      </c>
      <c r="H15" s="1051">
        <v>1</v>
      </c>
      <c r="I15" s="1051">
        <v>1</v>
      </c>
      <c r="J15" s="1052">
        <v>1</v>
      </c>
      <c r="K15" s="1398"/>
      <c r="L15" s="1595" t="s">
        <v>894</v>
      </c>
      <c r="M15" s="1425" t="s">
        <v>980</v>
      </c>
      <c r="N15" s="1425" t="s">
        <v>981</v>
      </c>
      <c r="O15" s="1425" t="s">
        <v>898</v>
      </c>
      <c r="P15" s="1473" t="s">
        <v>982</v>
      </c>
      <c r="Q15" s="2187"/>
      <c r="R15" s="2959">
        <v>14</v>
      </c>
      <c r="S15" s="2948"/>
      <c r="T15" s="2959" t="e">
        <f t="shared" si="0"/>
        <v>#DIV/0!</v>
      </c>
      <c r="U15" s="2948"/>
      <c r="V15" s="2959" t="e">
        <f t="shared" si="1"/>
        <v>#DIV/0!</v>
      </c>
      <c r="W15" s="2187"/>
      <c r="X15" s="2187"/>
      <c r="Y15" s="2187"/>
      <c r="Z15" s="2187"/>
      <c r="AA15" s="2187"/>
      <c r="AB15" s="2187"/>
      <c r="AC15" s="2188"/>
    </row>
    <row r="16" spans="1:39" ht="24">
      <c r="A16" s="3484" t="s">
        <v>1835</v>
      </c>
      <c r="B16" s="1424" t="s">
        <v>946</v>
      </c>
      <c r="C16" s="1053" t="e">
        <f>ROUND(SUM(G17:J17)/C17,0)</f>
        <v>#DIV/0!</v>
      </c>
      <c r="D16" s="1457" t="s">
        <v>947</v>
      </c>
      <c r="E16" s="1458"/>
      <c r="F16" s="1459"/>
      <c r="G16" s="1460"/>
      <c r="H16" s="1460"/>
      <c r="I16" s="1460"/>
      <c r="J16" s="1460"/>
      <c r="K16" s="1398"/>
      <c r="L16" s="1461" t="s">
        <v>984</v>
      </c>
      <c r="M16" s="1046">
        <v>0.25</v>
      </c>
      <c r="N16" s="1046">
        <v>0.2</v>
      </c>
      <c r="O16" s="1046">
        <v>0.15</v>
      </c>
      <c r="P16" s="1536">
        <v>0.1</v>
      </c>
      <c r="Q16" s="2190"/>
      <c r="R16" s="2959">
        <v>15</v>
      </c>
      <c r="S16" s="2948"/>
      <c r="T16" s="2959" t="e">
        <f t="shared" si="0"/>
        <v>#DIV/0!</v>
      </c>
      <c r="U16" s="2948"/>
      <c r="V16" s="2959" t="e">
        <f t="shared" si="1"/>
        <v>#DIV/0!</v>
      </c>
      <c r="W16" s="2190"/>
      <c r="X16" s="2190"/>
      <c r="Y16" s="2190"/>
      <c r="Z16" s="2190"/>
      <c r="AA16" s="2190"/>
      <c r="AB16" s="2190"/>
      <c r="AC16" s="2191"/>
    </row>
    <row r="17" spans="1:40" ht="13.5" thickBot="1">
      <c r="A17" s="3485"/>
      <c r="B17" s="1462" t="s">
        <v>949</v>
      </c>
      <c r="C17" s="1054">
        <f>SUMPRODUCT((修正!A2:A5=E2)*(修正!B1:M1=G2)*(修正!B2:M5))</f>
        <v>0</v>
      </c>
      <c r="D17" s="1464" t="s">
        <v>950</v>
      </c>
      <c r="E17" s="1465" t="str">
        <f>IF(OR(G2="八级",G2="九级",G2="十级",G2="十一级",G2="十二级"),"五通一平","七通一平")</f>
        <v>七通一平</v>
      </c>
      <c r="F17" s="1463" t="s">
        <v>951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398"/>
      <c r="L17" s="1466" t="s">
        <v>970</v>
      </c>
      <c r="M17" s="1537">
        <f ca="1">ROUND($E$20*(1+M16),3)</f>
        <v>5.3999999999999999E-2</v>
      </c>
      <c r="N17" s="1537">
        <f ca="1">ROUND($E$20*(1+N16),3)</f>
        <v>5.1999999999999998E-2</v>
      </c>
      <c r="O17" s="1537">
        <f ca="1">ROUND($E$20*(1+O16),3)</f>
        <v>0.05</v>
      </c>
      <c r="P17" s="1538">
        <f ca="1">ROUND($E$20*(1+P16),3)</f>
        <v>4.8000000000000001E-2</v>
      </c>
      <c r="Q17" s="2190"/>
      <c r="R17" s="2191"/>
      <c r="S17" s="2191"/>
      <c r="T17" s="2191"/>
      <c r="U17" s="2191"/>
      <c r="V17" s="2191"/>
      <c r="W17" s="2190"/>
      <c r="X17" s="2190"/>
      <c r="Y17" s="2190"/>
      <c r="Z17" s="2190"/>
      <c r="AA17" s="2190"/>
      <c r="AB17" s="2190"/>
      <c r="AC17" s="2191"/>
      <c r="AH17" s="1399"/>
      <c r="AI17" s="1399"/>
      <c r="AJ17" s="1402"/>
      <c r="AK17" s="1402"/>
      <c r="AL17" s="1402"/>
      <c r="AM17" s="1402"/>
    </row>
    <row r="18" spans="1:40" s="1418" customFormat="1" ht="15.75" thickBot="1">
      <c r="A18" s="1638" t="s">
        <v>1826</v>
      </c>
      <c r="B18" s="2794" t="s">
        <v>952</v>
      </c>
      <c r="C18" s="2795">
        <f>SUMIF(修正!C18:C39,E3,修正!E18:E39)</f>
        <v>0</v>
      </c>
      <c r="D18" s="2796"/>
      <c r="E18" s="2797"/>
      <c r="F18" s="2798"/>
      <c r="G18" s="2792"/>
      <c r="H18" s="2792"/>
      <c r="I18" s="2792"/>
      <c r="J18" s="2799"/>
      <c r="K18" s="1478"/>
      <c r="L18" s="1478"/>
      <c r="M18" s="1478"/>
      <c r="N18" s="1478"/>
      <c r="O18" s="1594"/>
      <c r="P18" s="1594"/>
      <c r="Q18" s="2192"/>
      <c r="R18" s="2192"/>
      <c r="S18" s="2192"/>
      <c r="T18" s="2192"/>
      <c r="U18" s="2192"/>
      <c r="V18" s="2192"/>
      <c r="W18" s="2191"/>
      <c r="X18" s="2191"/>
      <c r="Y18" s="2191"/>
      <c r="Z18" s="2191"/>
      <c r="AA18" s="2190"/>
      <c r="AB18" s="2190"/>
      <c r="AC18" s="2193"/>
      <c r="AD18" s="1469"/>
      <c r="AE18" s="1469"/>
      <c r="AF18" s="1469"/>
      <c r="AG18" s="1469"/>
      <c r="AH18" s="1400"/>
      <c r="AI18" s="1400"/>
      <c r="AJ18" s="1401"/>
      <c r="AK18" s="1401"/>
      <c r="AL18" s="1401"/>
    </row>
    <row r="19" spans="1:40" s="1418" customFormat="1" ht="27.75" thickBot="1">
      <c r="A19" s="1637" t="s">
        <v>1832</v>
      </c>
      <c r="B19" s="1467" t="s">
        <v>953</v>
      </c>
      <c r="C19" s="1056" t="e">
        <f>ROUND(IF(H19="按公示增长率计算",SUMPRODUCT((地价!A3:A22=YEAR(G19)&amp;"-"&amp;ROUNDUP(MONTH(G19)/3,0))*(地价!X2:AB2=E2)*(地价!X3:AB22)),IF(H19="地价指数",M20/M19,(1+I19)^O19)),4)</f>
        <v>#DIV/0!</v>
      </c>
      <c r="D19" s="1471" t="s">
        <v>954</v>
      </c>
      <c r="E19" s="1057">
        <v>41640</v>
      </c>
      <c r="F19" s="1471" t="s">
        <v>955</v>
      </c>
      <c r="G19" s="1058">
        <f>'数据-取费表'!B2</f>
        <v>43234</v>
      </c>
      <c r="H19" s="1472" t="s">
        <v>2936</v>
      </c>
      <c r="I19" s="2806" t="str">
        <f>IF(H19="季度增幅（自定义）",SUMIF(N21:N24,E2,O21:O24),"")</f>
        <v/>
      </c>
      <c r="J19" s="1468"/>
      <c r="K19" s="1478"/>
      <c r="L19" s="3059" t="s">
        <v>2841</v>
      </c>
      <c r="M19" s="3060">
        <f>ROUND(SUMIF(地价!B2:F2,E2,地价!B22:F22),0)</f>
        <v>0</v>
      </c>
      <c r="N19" s="2808" t="s">
        <v>1673</v>
      </c>
      <c r="O19" s="2807">
        <f>ROUNDDOWN(DATEDIF(E19,G19,"M")/3,0)</f>
        <v>17</v>
      </c>
      <c r="P19" s="1593"/>
      <c r="R19" s="2947"/>
      <c r="S19" s="2947"/>
      <c r="T19" s="2947"/>
      <c r="U19" s="2947"/>
      <c r="V19" s="2947"/>
      <c r="W19" s="2193"/>
      <c r="X19" s="2193"/>
      <c r="Y19" s="2193"/>
      <c r="Z19" s="2193"/>
      <c r="AA19" s="2193"/>
      <c r="AB19" s="2193"/>
      <c r="AC19" s="2193"/>
      <c r="AD19" s="1400"/>
      <c r="AE19" s="1400"/>
      <c r="AF19" s="1400"/>
      <c r="AG19" s="1400"/>
      <c r="AH19" s="1469"/>
      <c r="AI19" s="1470"/>
      <c r="AJ19" s="1474"/>
      <c r="AK19" s="1401"/>
      <c r="AL19" s="1417"/>
      <c r="AM19" s="1417"/>
      <c r="AN19" s="1417"/>
    </row>
    <row r="20" spans="1:40" s="1418" customFormat="1" ht="27.75" thickBot="1">
      <c r="A20" s="2800" t="s">
        <v>1833</v>
      </c>
      <c r="B20" s="2801" t="s">
        <v>968</v>
      </c>
      <c r="C20" s="2802" t="e">
        <f>ROUND(POWER(1+G20,J20-I20)*(POWER(1+G20,I20)-1)/(POWER(1+G20,J20)-1),4)</f>
        <v>#DIV/0!</v>
      </c>
      <c r="D20" s="2803" t="s">
        <v>969</v>
      </c>
      <c r="E20" s="3114">
        <f ca="1">存贷款利率!I4/100</f>
        <v>4.3499999999999997E-2</v>
      </c>
      <c r="F20" s="2803" t="s">
        <v>970</v>
      </c>
      <c r="G20" s="2804">
        <f>SUMIF(M15:P15,E2,M17:P17)</f>
        <v>0</v>
      </c>
      <c r="H20" s="2803" t="s">
        <v>971</v>
      </c>
      <c r="I20" s="2793" t="e">
        <f>SUMIF('数据-取费表'!C6:C15,E2,'数据-取费表'!F6:F15)/COUNTIF('数据-取费表'!C6:C15,E2)</f>
        <v>#DIV/0!</v>
      </c>
      <c r="J20" s="2805">
        <f>IF(E2="住宅",70,IF(E2="商业",40,50))</f>
        <v>50</v>
      </c>
      <c r="K20" s="1478"/>
      <c r="L20" s="3061" t="s">
        <v>2842</v>
      </c>
      <c r="M20" s="3062">
        <f>ROUND(SUMPRODUCT((地价!A4:A22=YEAR(G19)&amp;"-"&amp;ROUNDUP(MONTH(G19)/3,0))*(地价!B2:F2=E2)*(地价!B4:F22)),0)</f>
        <v>0</v>
      </c>
      <c r="N20" s="2811" t="s">
        <v>2645</v>
      </c>
      <c r="O20" s="2809" t="s">
        <v>2644</v>
      </c>
      <c r="P20" s="2810" t="s">
        <v>2650</v>
      </c>
      <c r="R20" s="2947"/>
      <c r="S20" s="2947"/>
      <c r="T20" s="2947"/>
      <c r="U20" s="2947"/>
      <c r="V20" s="2947"/>
      <c r="W20" s="2193"/>
      <c r="X20" s="2193"/>
      <c r="Y20" s="2193"/>
      <c r="Z20" s="2193"/>
      <c r="AA20" s="2193"/>
      <c r="AB20" s="2193"/>
      <c r="AC20" s="2193"/>
      <c r="AD20" s="1469"/>
      <c r="AE20" s="1469"/>
      <c r="AF20" s="1469"/>
      <c r="AG20" s="1469"/>
      <c r="AH20" s="1469"/>
      <c r="AI20" s="1469"/>
    </row>
    <row r="21" spans="1:40" s="1418" customFormat="1" ht="14.25">
      <c r="A21" s="1639" t="s">
        <v>1834</v>
      </c>
      <c r="B21" s="1477" t="s">
        <v>2761</v>
      </c>
      <c r="C21" s="1157">
        <f>IF(B21="容积率修正",IF(G3&lt;=10,D22,J22),C23)</f>
        <v>0</v>
      </c>
      <c r="D21" s="1478"/>
      <c r="E21" s="1478"/>
      <c r="F21" s="1478"/>
      <c r="G21" s="1478"/>
      <c r="H21" s="1478"/>
      <c r="I21" s="1478"/>
      <c r="J21" s="1479"/>
      <c r="K21" s="1478"/>
      <c r="L21" s="1478"/>
      <c r="M21" s="1478"/>
      <c r="N21" s="1475" t="s">
        <v>972</v>
      </c>
      <c r="O21" s="1539"/>
      <c r="P21" s="2791">
        <f>SUMPRODUCT((地价!A3:A22=YEAR(G19)&amp;"-"&amp;ROUNDUP(MONTH(G19)/3,0))*(地价!AD2:AH2=N21)*(地价!AD3:AH22))</f>
        <v>1.5699999999999999E-2</v>
      </c>
      <c r="R21" s="2947"/>
      <c r="S21" s="2947"/>
      <c r="T21" s="2947"/>
      <c r="U21" s="2947"/>
      <c r="V21" s="2947"/>
      <c r="W21" s="2193"/>
      <c r="X21" s="2193"/>
      <c r="Y21" s="2193"/>
      <c r="Z21" s="2193"/>
      <c r="AA21" s="2193"/>
      <c r="AB21" s="2193"/>
      <c r="AC21" s="2193"/>
      <c r="AD21" s="1400"/>
      <c r="AE21" s="1400"/>
      <c r="AF21" s="1400"/>
      <c r="AG21" s="1400"/>
      <c r="AH21" s="1469"/>
      <c r="AI21" s="1469"/>
    </row>
    <row r="22" spans="1:40" s="1418" customFormat="1" ht="14.25">
      <c r="A22" s="1640" t="s">
        <v>1867</v>
      </c>
      <c r="B22" s="1480" t="s">
        <v>973</v>
      </c>
      <c r="C22" s="1059" t="s">
        <v>1699</v>
      </c>
      <c r="D22" s="1059" t="b">
        <f>IF(E22=G22,F22,IF(G3&lt;=10,ROUND(F22+(H22-F22)*(G3-E22)/(G22-E22),4),"——"))</f>
        <v>0</v>
      </c>
      <c r="E22" s="1038">
        <f>ROUNDDOWN(G3,1)</f>
        <v>1.5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974</v>
      </c>
      <c r="J22" s="1059" t="str">
        <f>IF(G3&gt;10,D113,"——")</f>
        <v>——</v>
      </c>
      <c r="K22" s="1478"/>
      <c r="L22" s="1478"/>
      <c r="M22" s="1478"/>
      <c r="N22" s="1475" t="s">
        <v>975</v>
      </c>
      <c r="O22" s="1539"/>
      <c r="P22" s="2791">
        <f>SUMPRODUCT((地价!A3:A22=YEAR(G19)&amp;"-"&amp;ROUNDUP(MONTH(G19)/3,0))*(地价!AD2:AH2=N22)*(地价!AD3:AH22))</f>
        <v>1.5699999999999999E-2</v>
      </c>
      <c r="R22" s="2947"/>
      <c r="S22" s="2947"/>
      <c r="T22" s="2947"/>
      <c r="U22" s="2947"/>
      <c r="V22" s="2947"/>
      <c r="W22" s="2193"/>
      <c r="X22" s="2193"/>
      <c r="Y22" s="2193"/>
      <c r="Z22" s="2193"/>
      <c r="AA22" s="2193"/>
      <c r="AB22" s="2193"/>
      <c r="AC22" s="2193"/>
      <c r="AD22" s="1469"/>
      <c r="AE22" s="1469"/>
      <c r="AF22" s="1469"/>
      <c r="AG22" s="1469"/>
      <c r="AH22" s="1469"/>
      <c r="AI22" s="1469"/>
    </row>
    <row r="23" spans="1:40" ht="27.75" thickBot="1">
      <c r="A23" s="1640" t="s">
        <v>1868</v>
      </c>
      <c r="B23" s="1480" t="s">
        <v>976</v>
      </c>
      <c r="C23" s="1060">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919</v>
      </c>
      <c r="O23" s="1539"/>
      <c r="P23" s="2791">
        <f>SUMPRODUCT((地价!A3:A22=YEAR(G19)&amp;"-"&amp;ROUNDUP(MONTH(G19)/3,0))*(地价!AD2:AH2=N23)*(地价!AD3:AH22))</f>
        <v>2.5000000000000001E-2</v>
      </c>
      <c r="R23" s="2947"/>
      <c r="S23" s="2947"/>
      <c r="T23" s="2947"/>
      <c r="U23" s="2947"/>
      <c r="V23" s="2947"/>
      <c r="W23" s="2193"/>
      <c r="X23" s="2193"/>
      <c r="Y23" s="2193"/>
      <c r="Z23" s="2193"/>
      <c r="AA23" s="2193"/>
      <c r="AB23" s="2193"/>
      <c r="AC23" s="2193"/>
      <c r="AN23" s="1401"/>
    </row>
    <row r="24" spans="1:40" s="1418" customFormat="1" ht="15.75" thickBot="1">
      <c r="A24" s="1638" t="s">
        <v>1869</v>
      </c>
      <c r="B24" s="1412" t="s">
        <v>977</v>
      </c>
      <c r="C24" s="1061">
        <f>SUMIF(A44:A87,E2,B44:B87)</f>
        <v>0</v>
      </c>
      <c r="D24" s="1532"/>
      <c r="E24" s="1533"/>
      <c r="F24" s="1533"/>
      <c r="G24" s="1533"/>
      <c r="H24" s="1533"/>
      <c r="I24" s="1533"/>
      <c r="J24" s="1533"/>
      <c r="K24" s="1478"/>
      <c r="L24" s="1478"/>
      <c r="M24" s="1478"/>
      <c r="N24" s="1481" t="s">
        <v>978</v>
      </c>
      <c r="O24" s="1540"/>
      <c r="P24" s="1538">
        <f>SUMPRODUCT((地价!A3:A22=YEAR(G19)&amp;"-"&amp;ROUNDUP(MONTH(G19)/3,0))*(地价!AD2:AH2=N24)*(地价!AD3:AH22))</f>
        <v>1.35E-2</v>
      </c>
      <c r="R24" s="2947"/>
      <c r="S24" s="2947"/>
      <c r="T24" s="2947"/>
      <c r="U24" s="2947"/>
      <c r="V24" s="2947"/>
      <c r="W24" s="2193"/>
      <c r="X24" s="2193"/>
      <c r="Y24" s="2193"/>
      <c r="Z24" s="2193"/>
      <c r="AA24" s="2193"/>
      <c r="AB24" s="2193"/>
      <c r="AC24" s="2193"/>
      <c r="AD24" s="1469"/>
      <c r="AE24" s="1469"/>
      <c r="AF24" s="1469"/>
      <c r="AG24" s="1469"/>
      <c r="AH24" s="1469"/>
      <c r="AI24" s="1469"/>
    </row>
    <row r="25" spans="1:40" ht="15" thickBot="1">
      <c r="A25" s="1638" t="s">
        <v>1870</v>
      </c>
      <c r="B25" s="1483" t="s">
        <v>979</v>
      </c>
      <c r="C25" s="1484"/>
      <c r="D25" s="1427"/>
      <c r="E25" s="1427"/>
      <c r="F25" s="1485"/>
      <c r="G25" s="1427"/>
      <c r="H25" s="1427"/>
      <c r="I25" s="1427"/>
      <c r="J25" s="1428"/>
      <c r="K25" s="1398"/>
      <c r="L25" s="2193"/>
      <c r="M25" s="2193"/>
      <c r="N25" s="2819" t="s">
        <v>2648</v>
      </c>
      <c r="O25" s="2193"/>
      <c r="P25" s="1538">
        <f>SUMPRODUCT((地价!A3:A22=YEAR(G19)&amp;"-"&amp;ROUNDUP(MONTH(G19)/3,0))*(地价!AD2:AH2=N25)*(地价!AD3:AH22))</f>
        <v>2.2700000000000001E-2</v>
      </c>
      <c r="R25" s="2947"/>
      <c r="S25" s="2947"/>
      <c r="T25" s="2947"/>
      <c r="U25" s="2947"/>
      <c r="V25" s="2947"/>
      <c r="W25" s="2193"/>
      <c r="X25" s="2193"/>
      <c r="Y25" s="2193"/>
      <c r="Z25" s="2193"/>
      <c r="AA25" s="2193"/>
      <c r="AB25" s="2193"/>
      <c r="AC25" s="2193"/>
    </row>
    <row r="26" spans="1:40" ht="14.25">
      <c r="A26" s="1486"/>
      <c r="B26" s="1480" t="s">
        <v>983</v>
      </c>
      <c r="C26" s="1062" t="e">
        <f>E29+SUM(E33:E39)</f>
        <v>#DIV/0!</v>
      </c>
      <c r="D26" s="1487"/>
      <c r="E26" s="1453"/>
      <c r="F26" s="1488"/>
      <c r="G26" s="1453"/>
      <c r="H26" s="1453"/>
      <c r="I26" s="1453"/>
      <c r="J26" s="1489"/>
      <c r="K26" s="1398"/>
      <c r="L26" s="2193"/>
      <c r="M26" s="2193"/>
      <c r="N26" s="2193"/>
      <c r="O26" s="2193"/>
      <c r="P26" s="2193"/>
      <c r="Q26" s="2193"/>
      <c r="R26" s="2947"/>
      <c r="S26" s="2947"/>
      <c r="T26" s="2947"/>
      <c r="U26" s="2947"/>
      <c r="V26" s="2947"/>
      <c r="W26" s="2193"/>
      <c r="X26" s="2193"/>
      <c r="Y26" s="2193"/>
      <c r="Z26" s="2193"/>
      <c r="AA26" s="2193"/>
      <c r="AB26" s="2193"/>
      <c r="AC26" s="2193"/>
      <c r="AD26" s="1469"/>
      <c r="AE26" s="1469"/>
      <c r="AF26" s="1469"/>
      <c r="AG26" s="1469"/>
    </row>
    <row r="27" spans="1:40" ht="15" thickBot="1">
      <c r="A27" s="1486"/>
      <c r="B27" s="1490" t="s">
        <v>985</v>
      </c>
      <c r="C27" s="1063" t="e">
        <f>E30+SUM(I33:I39)</f>
        <v>#DIV/0!</v>
      </c>
      <c r="D27" s="1491"/>
      <c r="E27" s="1492"/>
      <c r="F27" s="1493"/>
      <c r="G27" s="1492"/>
      <c r="H27" s="1492"/>
      <c r="I27" s="1492"/>
      <c r="J27" s="1494"/>
      <c r="K27" s="1398"/>
      <c r="L27" s="2193"/>
      <c r="M27" s="2193"/>
      <c r="N27" s="2193"/>
      <c r="O27" s="2193"/>
      <c r="P27" s="2193"/>
      <c r="Q27" s="2193"/>
      <c r="R27" s="2947"/>
      <c r="S27" s="2947"/>
      <c r="T27" s="2947"/>
      <c r="U27" s="2947"/>
      <c r="V27" s="2947"/>
      <c r="W27" s="2193"/>
      <c r="X27" s="2193"/>
      <c r="Y27" s="2193"/>
      <c r="Z27" s="2193"/>
      <c r="AA27" s="2193"/>
      <c r="AB27" s="2193"/>
      <c r="AC27" s="2193"/>
    </row>
    <row r="28" spans="1:40" ht="14.25">
      <c r="A28" s="1482"/>
      <c r="B28" s="1495" t="s">
        <v>986</v>
      </c>
      <c r="C28" s="1496" t="s">
        <v>987</v>
      </c>
      <c r="D28" s="1496" t="s">
        <v>988</v>
      </c>
      <c r="E28" s="1497" t="s">
        <v>989</v>
      </c>
      <c r="F28" s="1498"/>
      <c r="G28" s="1439"/>
      <c r="H28" s="1439"/>
      <c r="I28" s="1439"/>
      <c r="J28" s="1440"/>
      <c r="K28" s="1398"/>
      <c r="L28" s="2193"/>
      <c r="M28" s="2193"/>
      <c r="N28" s="2193"/>
      <c r="O28" s="2193"/>
      <c r="P28" s="2193"/>
      <c r="Q28" s="2193"/>
      <c r="R28" s="2947"/>
      <c r="S28" s="2947"/>
      <c r="T28" s="2947"/>
      <c r="U28" s="2947"/>
      <c r="V28" s="2947"/>
      <c r="W28" s="2193"/>
      <c r="X28" s="2193"/>
      <c r="Y28" s="2193"/>
      <c r="Z28" s="2193"/>
      <c r="AA28" s="2193"/>
      <c r="AB28" s="2193"/>
      <c r="AC28" s="2193"/>
      <c r="AD28" s="1469"/>
      <c r="AE28" s="1469"/>
      <c r="AF28" s="1469"/>
      <c r="AG28" s="1469"/>
    </row>
    <row r="29" spans="1:40" ht="24">
      <c r="A29" s="1499"/>
      <c r="B29" s="1500" t="s">
        <v>990</v>
      </c>
      <c r="C29" s="1062" t="e">
        <f>ROUND(C5*C18*C19*C20*C21*C24,0)</f>
        <v>#DIV/0!</v>
      </c>
      <c r="D29" s="1501"/>
      <c r="E29" s="1847" t="e">
        <f>ROUND(C29*D29/10000,0)</f>
        <v>#DIV/0!</v>
      </c>
      <c r="F29" s="1502" t="s">
        <v>1698</v>
      </c>
      <c r="G29" s="1503"/>
      <c r="H29" s="1503"/>
      <c r="I29" s="1503"/>
      <c r="J29" s="1504"/>
      <c r="K29" s="1398"/>
      <c r="L29" s="2193"/>
      <c r="M29" s="2193"/>
      <c r="N29" s="2193"/>
      <c r="O29" s="2193"/>
      <c r="P29" s="2193"/>
      <c r="Q29" s="2193"/>
      <c r="R29" s="2947"/>
      <c r="S29" s="2947"/>
      <c r="T29" s="2947"/>
      <c r="U29" s="2947"/>
      <c r="V29" s="2947"/>
      <c r="W29" s="2193"/>
      <c r="X29" s="2193"/>
      <c r="Y29" s="2193"/>
      <c r="Z29" s="2193"/>
      <c r="AA29" s="2193"/>
      <c r="AB29" s="2193"/>
      <c r="AC29" s="2193"/>
      <c r="AH29" s="1399"/>
      <c r="AI29" s="1399"/>
      <c r="AJ29" s="1402"/>
      <c r="AK29" s="1402"/>
      <c r="AL29" s="1402"/>
      <c r="AM29" s="1402"/>
    </row>
    <row r="30" spans="1:40" ht="24.75" thickBot="1">
      <c r="A30" s="1505"/>
      <c r="B30" s="1506" t="s">
        <v>991</v>
      </c>
      <c r="C30" s="1050" t="e">
        <f>ROUND(IF(E2="工业",C29*M39,C29*M38),0)</f>
        <v>#DIV/0!</v>
      </c>
      <c r="D30" s="1507"/>
      <c r="E30" s="1847" t="e">
        <f>ROUND(C30*D30/10000,0)</f>
        <v>#DIV/0!</v>
      </c>
      <c r="F30" s="1508" t="s">
        <v>992</v>
      </c>
      <c r="G30" s="1509"/>
      <c r="H30" s="1509"/>
      <c r="I30" s="1509"/>
      <c r="J30" s="1510"/>
      <c r="K30" s="1398"/>
      <c r="L30" s="2187"/>
      <c r="M30" s="2187"/>
      <c r="N30" s="2187"/>
      <c r="O30" s="2187"/>
      <c r="P30" s="2187"/>
      <c r="Q30" s="2187"/>
      <c r="R30" s="2188"/>
      <c r="S30" s="2188"/>
      <c r="T30" s="2188"/>
      <c r="U30" s="2188"/>
      <c r="V30" s="2188"/>
      <c r="W30" s="2187"/>
      <c r="X30" s="2187"/>
      <c r="Y30" s="2187"/>
      <c r="Z30" s="2187"/>
      <c r="AA30" s="2187"/>
      <c r="AB30" s="2187"/>
      <c r="AC30" s="2187"/>
      <c r="AD30" s="1469"/>
      <c r="AE30" s="1469"/>
      <c r="AF30" s="1469"/>
      <c r="AG30" s="1469"/>
      <c r="AH30" s="1399"/>
      <c r="AI30" s="1399"/>
      <c r="AJ30" s="1402"/>
      <c r="AK30" s="1402"/>
      <c r="AL30" s="1402"/>
      <c r="AM30" s="1402"/>
    </row>
    <row r="31" spans="1:40">
      <c r="A31" s="1511"/>
      <c r="B31" s="1512" t="s">
        <v>993</v>
      </c>
      <c r="C31" s="1513" t="s">
        <v>994</v>
      </c>
      <c r="D31" s="1439"/>
      <c r="E31" s="1513"/>
      <c r="F31" s="1513"/>
      <c r="G31" s="1437" t="s">
        <v>992</v>
      </c>
      <c r="H31" s="1439"/>
      <c r="I31" s="1514"/>
      <c r="J31" s="1440"/>
      <c r="K31" s="1398"/>
      <c r="L31" s="2187"/>
      <c r="M31" s="2187"/>
      <c r="N31" s="2187"/>
      <c r="O31" s="2187"/>
      <c r="P31" s="2187"/>
      <c r="Q31" s="2187"/>
      <c r="R31" s="2188"/>
      <c r="S31" s="2188"/>
      <c r="T31" s="2188"/>
      <c r="U31" s="2188"/>
      <c r="V31" s="2188"/>
      <c r="W31" s="2187"/>
      <c r="X31" s="2187"/>
      <c r="Y31" s="2187"/>
      <c r="Z31" s="2187"/>
      <c r="AA31" s="2187"/>
      <c r="AB31" s="2187"/>
      <c r="AC31" s="2187"/>
      <c r="AH31" s="1399"/>
      <c r="AI31" s="1399"/>
      <c r="AJ31" s="1402"/>
      <c r="AK31" s="1402"/>
      <c r="AL31" s="1402"/>
      <c r="AM31" s="1402"/>
    </row>
    <row r="32" spans="1:40" ht="24">
      <c r="A32" s="1499"/>
      <c r="B32" s="1515"/>
      <c r="C32" s="1516" t="s">
        <v>987</v>
      </c>
      <c r="D32" s="1517" t="s">
        <v>988</v>
      </c>
      <c r="E32" s="1517" t="s">
        <v>989</v>
      </c>
      <c r="F32" s="1518" t="s">
        <v>995</v>
      </c>
      <c r="G32" s="1476" t="s">
        <v>987</v>
      </c>
      <c r="H32" s="1476" t="s">
        <v>988</v>
      </c>
      <c r="I32" s="1476" t="s">
        <v>989</v>
      </c>
      <c r="J32" s="1519"/>
      <c r="K32" s="1398"/>
      <c r="L32" s="2187"/>
      <c r="M32" s="2187"/>
      <c r="N32" s="2187"/>
      <c r="O32" s="2187"/>
      <c r="P32" s="2187"/>
      <c r="Q32" s="2187"/>
      <c r="R32" s="2188"/>
      <c r="S32" s="2188"/>
      <c r="T32" s="2188"/>
      <c r="U32" s="2188"/>
      <c r="V32" s="2188"/>
      <c r="W32" s="2187"/>
      <c r="X32" s="2187"/>
      <c r="Y32" s="2187"/>
      <c r="Z32" s="2187"/>
      <c r="AA32" s="2187"/>
      <c r="AB32" s="2187"/>
      <c r="AC32" s="2187"/>
      <c r="AD32" s="1399"/>
      <c r="AE32" s="1399"/>
      <c r="AF32" s="1399"/>
      <c r="AG32" s="1399"/>
      <c r="AH32" s="1399"/>
      <c r="AI32" s="1399"/>
      <c r="AJ32" s="1402"/>
      <c r="AK32" s="1402"/>
      <c r="AL32" s="1402"/>
      <c r="AM32" s="1402"/>
    </row>
    <row r="33" spans="1:40" ht="12.75">
      <c r="A33" s="3490" t="s">
        <v>2963</v>
      </c>
      <c r="B33" s="1521" t="s">
        <v>996</v>
      </c>
      <c r="C33" s="1062" t="e">
        <f>ROUND(D5*C19*C20*C24*F33,0)</f>
        <v>#DIV/0!</v>
      </c>
      <c r="D33" s="1534"/>
      <c r="E33" s="1047" t="e">
        <f>ROUND(C33*D33/10000,0)</f>
        <v>#DIV/0!</v>
      </c>
      <c r="F33" s="1047">
        <f>SUMIF(修正!A45:A56,G2,修正!B45:B56)</f>
        <v>0</v>
      </c>
      <c r="G33" s="1047" t="e">
        <f t="shared" ref="G33:G39" si="6">ROUND(IF(E2="工业",C33*$M$39,C33*$M$38),0)</f>
        <v>#DIV/0!</v>
      </c>
      <c r="H33" s="1047">
        <f>D33</f>
        <v>0</v>
      </c>
      <c r="I33" s="1047" t="e">
        <f>ROUND(G33*H33/10000,0)</f>
        <v>#DIV/0!</v>
      </c>
      <c r="J33" s="1522"/>
      <c r="K33" s="1398"/>
      <c r="L33" s="2187"/>
      <c r="M33" s="2187"/>
      <c r="N33" s="2187"/>
      <c r="O33" s="2187"/>
      <c r="P33" s="2187"/>
      <c r="Q33" s="2187"/>
      <c r="R33" s="2188"/>
      <c r="S33" s="2188"/>
      <c r="T33" s="2188"/>
      <c r="U33" s="2188"/>
      <c r="V33" s="2188"/>
      <c r="W33" s="2187"/>
      <c r="X33" s="2187"/>
      <c r="Y33" s="2187"/>
      <c r="Z33" s="2187"/>
      <c r="AA33" s="2187"/>
      <c r="AB33" s="2187"/>
      <c r="AC33" s="2188"/>
    </row>
    <row r="34" spans="1:40" ht="12.75">
      <c r="A34" s="3491"/>
      <c r="B34" s="1442" t="s">
        <v>997</v>
      </c>
      <c r="C34" s="1062" t="e">
        <f>ROUND(D5*C19*C20*C24*F34,0)</f>
        <v>#DIV/0!</v>
      </c>
      <c r="D34" s="1534"/>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2"/>
      <c r="K34" s="1398"/>
      <c r="L34" s="2187"/>
      <c r="M34" s="2187"/>
      <c r="N34" s="2187"/>
      <c r="O34" s="2187"/>
      <c r="P34" s="2187"/>
      <c r="Q34" s="2187"/>
      <c r="R34" s="2188"/>
      <c r="S34" s="2188"/>
      <c r="T34" s="2188"/>
      <c r="U34" s="2188"/>
      <c r="V34" s="2188"/>
      <c r="W34" s="2187"/>
      <c r="X34" s="2187"/>
      <c r="Y34" s="2187"/>
      <c r="Z34" s="2187"/>
      <c r="AA34" s="2187"/>
      <c r="AB34" s="2187"/>
      <c r="AC34" s="2188"/>
    </row>
    <row r="35" spans="1:40" ht="12.75">
      <c r="A35" s="3491"/>
      <c r="B35" s="1442" t="s">
        <v>998</v>
      </c>
      <c r="C35" s="1062" t="e">
        <f>ROUND(D5*C19*C20*C24*F35,0)</f>
        <v>#DIV/0!</v>
      </c>
      <c r="D35" s="1534"/>
      <c r="E35" s="1047" t="e">
        <f t="shared" si="7"/>
        <v>#DIV/0!</v>
      </c>
      <c r="F35" s="1047">
        <f>SUMIF(修正!A45:A56,G2,修正!D45:D56)</f>
        <v>0</v>
      </c>
      <c r="G35" s="1047" t="e">
        <f t="shared" si="6"/>
        <v>#DIV/0!</v>
      </c>
      <c r="H35" s="1047">
        <f t="shared" si="8"/>
        <v>0</v>
      </c>
      <c r="I35" s="1047" t="e">
        <f t="shared" si="9"/>
        <v>#DIV/0!</v>
      </c>
      <c r="J35" s="1522"/>
      <c r="K35" s="1398"/>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92"/>
      <c r="B36" s="1442" t="s">
        <v>999</v>
      </c>
      <c r="C36" s="1062" t="e">
        <f>ROUND(D5*C19*C20*C24*F36,0)</f>
        <v>#DIV/0!</v>
      </c>
      <c r="D36" s="1534"/>
      <c r="E36" s="1047" t="e">
        <f t="shared" si="7"/>
        <v>#DIV/0!</v>
      </c>
      <c r="F36" s="1047">
        <f>SUMIF(修正!A45:A56,G2,修正!E45:E56)</f>
        <v>0</v>
      </c>
      <c r="G36" s="1047" t="e">
        <f t="shared" si="6"/>
        <v>#DIV/0!</v>
      </c>
      <c r="H36" s="1047">
        <f t="shared" si="8"/>
        <v>0</v>
      </c>
      <c r="I36" s="1047" t="e">
        <f t="shared" si="9"/>
        <v>#DIV/0!</v>
      </c>
      <c r="J36" s="1522"/>
      <c r="K36" s="1398"/>
      <c r="L36" s="2187"/>
      <c r="M36" s="2187"/>
      <c r="N36" s="2187"/>
      <c r="O36" s="2187"/>
      <c r="P36" s="2187"/>
      <c r="Q36" s="2187"/>
      <c r="R36" s="2188"/>
      <c r="S36" s="2188"/>
      <c r="T36" s="2188"/>
      <c r="U36" s="2188"/>
      <c r="V36" s="2188"/>
      <c r="W36" s="2187"/>
      <c r="X36" s="2187"/>
      <c r="Y36" s="2187"/>
      <c r="Z36" s="2187"/>
      <c r="AA36" s="2187"/>
      <c r="AB36" s="2187"/>
      <c r="AC36" s="2188"/>
    </row>
    <row r="37" spans="1:40" ht="12.75">
      <c r="A37" s="1520"/>
      <c r="B37" s="1442" t="s">
        <v>1000</v>
      </c>
      <c r="C37" s="1047" t="e">
        <f>ROUND(C5*C19*C20*C24*F37,0)</f>
        <v>#DIV/0!</v>
      </c>
      <c r="D37" s="1534"/>
      <c r="E37" s="1047" t="e">
        <f t="shared" si="7"/>
        <v>#DIV/0!</v>
      </c>
      <c r="F37" s="1062">
        <f>SUMIF(修正!A45:A56,G2,修正!F45:F56)</f>
        <v>0</v>
      </c>
      <c r="G37" s="1047" t="e">
        <f t="shared" si="6"/>
        <v>#DIV/0!</v>
      </c>
      <c r="H37" s="1047">
        <f t="shared" si="8"/>
        <v>0</v>
      </c>
      <c r="I37" s="1047" t="e">
        <f t="shared" si="9"/>
        <v>#DIV/0!</v>
      </c>
      <c r="J37" s="1522"/>
      <c r="K37" s="1398"/>
      <c r="L37" s="1541" t="s">
        <v>1700</v>
      </c>
      <c r="M37" s="1542"/>
      <c r="N37" s="2187"/>
      <c r="O37" s="2187"/>
      <c r="P37" s="2187"/>
      <c r="Q37" s="2187"/>
      <c r="R37" s="2188"/>
      <c r="S37" s="2188"/>
      <c r="T37" s="2188"/>
      <c r="U37" s="2188"/>
      <c r="V37" s="2188"/>
      <c r="W37" s="2187"/>
      <c r="X37" s="2187"/>
      <c r="Y37" s="2187"/>
      <c r="Z37" s="2187"/>
      <c r="AA37" s="2187"/>
      <c r="AB37" s="2187"/>
      <c r="AC37" s="2188"/>
    </row>
    <row r="38" spans="1:40" ht="12.75">
      <c r="A38" s="1520"/>
      <c r="B38" s="1442" t="s">
        <v>1001</v>
      </c>
      <c r="C38" s="1047" t="e">
        <f>ROUND(C5*C19*C20*C24*F38,0)</f>
        <v>#DIV/0!</v>
      </c>
      <c r="D38" s="1534"/>
      <c r="E38" s="1047" t="e">
        <f t="shared" si="7"/>
        <v>#DIV/0!</v>
      </c>
      <c r="F38" s="1062">
        <f>SUMIF(修正!A45:A56,G2,修正!G45:G56)</f>
        <v>0</v>
      </c>
      <c r="G38" s="1047" t="e">
        <f t="shared" si="6"/>
        <v>#DIV/0!</v>
      </c>
      <c r="H38" s="1047">
        <f t="shared" si="8"/>
        <v>0</v>
      </c>
      <c r="I38" s="1047" t="e">
        <f t="shared" si="9"/>
        <v>#DIV/0!</v>
      </c>
      <c r="J38" s="1522"/>
      <c r="K38" s="1398"/>
      <c r="L38" s="1543" t="s">
        <v>1702</v>
      </c>
      <c r="M38" s="1544">
        <v>0.25</v>
      </c>
      <c r="N38" s="2187"/>
      <c r="O38" s="2187"/>
      <c r="P38" s="2187"/>
      <c r="Q38" s="2187"/>
      <c r="R38" s="2188"/>
      <c r="S38" s="2188"/>
      <c r="T38" s="2188"/>
      <c r="U38" s="2188"/>
      <c r="V38" s="2188"/>
      <c r="W38" s="2187"/>
      <c r="X38" s="2187"/>
      <c r="Y38" s="2187"/>
      <c r="Z38" s="2187"/>
      <c r="AA38" s="2187"/>
      <c r="AB38" s="2187"/>
      <c r="AC38" s="2188"/>
    </row>
    <row r="39" spans="1:40" ht="13.5" thickBot="1">
      <c r="A39" s="1505"/>
      <c r="B39" s="1523" t="s">
        <v>1002</v>
      </c>
      <c r="C39" s="1050" t="e">
        <f>ROUND(C5*C19*C20*C24*F39,0)</f>
        <v>#DIV/0!</v>
      </c>
      <c r="D39" s="1535"/>
      <c r="E39" s="1050" t="e">
        <f t="shared" si="7"/>
        <v>#DIV/0!</v>
      </c>
      <c r="F39" s="1064">
        <f>SUMIF(修正!A45:A56,G2,修正!H45:H56)</f>
        <v>0</v>
      </c>
      <c r="G39" s="1050" t="e">
        <f t="shared" si="6"/>
        <v>#DIV/0!</v>
      </c>
      <c r="H39" s="1050">
        <f t="shared" si="8"/>
        <v>0</v>
      </c>
      <c r="I39" s="1050" t="e">
        <f t="shared" si="9"/>
        <v>#DIV/0!</v>
      </c>
      <c r="J39" s="1524"/>
      <c r="K39" s="1398"/>
      <c r="L39" s="1545" t="s">
        <v>1701</v>
      </c>
      <c r="M39" s="1546">
        <v>0.15</v>
      </c>
      <c r="N39" s="2187"/>
      <c r="O39" s="2187"/>
      <c r="P39" s="2187"/>
      <c r="Q39" s="2187"/>
      <c r="R39" s="2188"/>
      <c r="S39" s="2188"/>
      <c r="T39" s="2188"/>
      <c r="U39" s="2188"/>
      <c r="V39" s="2188"/>
      <c r="W39" s="2187"/>
      <c r="X39" s="2187"/>
      <c r="Y39" s="2187"/>
      <c r="Z39" s="2187"/>
      <c r="AA39" s="2187"/>
      <c r="AB39" s="2187"/>
      <c r="AC39" s="2188"/>
    </row>
    <row r="40" spans="1:40" s="1399"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0"/>
      <c r="AE40" s="1400"/>
      <c r="AF40" s="1400"/>
      <c r="AG40" s="1400"/>
      <c r="AH40" s="1400"/>
      <c r="AI40" s="1400"/>
      <c r="AJ40" s="1400"/>
      <c r="AK40" s="1400"/>
      <c r="AL40" s="1400"/>
      <c r="AM40" s="1400"/>
    </row>
    <row r="41" spans="1:40" s="1399" customFormat="1">
      <c r="A41" s="1400"/>
      <c r="B41" s="2196"/>
      <c r="C41" s="2194"/>
      <c r="D41" s="2194"/>
      <c r="E41" s="2194"/>
      <c r="F41" s="2194"/>
      <c r="G41" s="2194"/>
      <c r="H41" s="2194"/>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0"/>
      <c r="AE41" s="1400"/>
      <c r="AF41" s="1400"/>
      <c r="AG41" s="1400"/>
      <c r="AH41" s="1400"/>
      <c r="AI41" s="1400"/>
      <c r="AJ41" s="1400"/>
      <c r="AK41" s="1400"/>
      <c r="AL41" s="1400"/>
      <c r="AM41" s="1400"/>
    </row>
    <row r="42" spans="1:40" s="1399" customFormat="1">
      <c r="A42" s="1400"/>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0"/>
      <c r="AE42" s="1400"/>
      <c r="AF42" s="1400"/>
      <c r="AG42" s="1400"/>
      <c r="AH42" s="1400"/>
      <c r="AI42" s="1400"/>
      <c r="AJ42" s="1400"/>
      <c r="AK42" s="1400"/>
      <c r="AL42" s="1400"/>
      <c r="AM42" s="1400"/>
    </row>
    <row r="43" spans="1:40" s="1399" customFormat="1">
      <c r="A43" s="1400"/>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0"/>
      <c r="AE43" s="1400"/>
      <c r="AF43" s="1400"/>
      <c r="AG43" s="1400"/>
      <c r="AH43" s="1400"/>
      <c r="AI43" s="1400"/>
      <c r="AJ43" s="1400"/>
      <c r="AK43" s="1400"/>
      <c r="AL43" s="1400"/>
      <c r="AM43" s="1400"/>
    </row>
    <row r="44" spans="1:40" s="1399" customFormat="1" ht="15" thickBot="1">
      <c r="A44" s="2441" t="s">
        <v>1003</v>
      </c>
      <c r="B44" s="2442"/>
      <c r="C44" s="2443"/>
      <c r="D44" s="2444"/>
      <c r="E44" s="2444"/>
      <c r="F44" s="2445"/>
      <c r="G44" s="1065"/>
      <c r="H44" s="2445"/>
      <c r="I44" s="1065"/>
      <c r="J44" s="1065"/>
      <c r="K44" s="1065"/>
      <c r="L44" s="1065"/>
      <c r="M44" s="1065"/>
      <c r="O44" s="2194"/>
      <c r="P44" s="2194"/>
      <c r="Q44" s="2194"/>
      <c r="R44" s="2195"/>
      <c r="S44" s="2195"/>
      <c r="T44" s="2195"/>
      <c r="U44" s="2195"/>
      <c r="V44" s="2195"/>
      <c r="W44" s="2194"/>
      <c r="X44" s="2194"/>
      <c r="Y44" s="2194"/>
      <c r="Z44" s="2194"/>
      <c r="AA44" s="2194"/>
      <c r="AB44" s="2194"/>
      <c r="AC44" s="2195"/>
      <c r="AD44" s="1400"/>
      <c r="AE44" s="1400"/>
      <c r="AF44" s="1400"/>
      <c r="AG44" s="1400"/>
      <c r="AH44" s="1400"/>
      <c r="AI44" s="1400"/>
      <c r="AJ44" s="1400"/>
      <c r="AK44" s="1400"/>
      <c r="AL44" s="1400"/>
      <c r="AM44" s="1400"/>
    </row>
    <row r="45" spans="1:40" s="1399" customFormat="1" ht="15">
      <c r="A45" s="2446" t="s">
        <v>1004</v>
      </c>
      <c r="B45" s="2447">
        <f>1+E47</f>
        <v>1</v>
      </c>
      <c r="C45" s="2448"/>
      <c r="D45" s="2449"/>
      <c r="E45" s="2450"/>
      <c r="F45" s="2451"/>
      <c r="G45" s="2445"/>
      <c r="H45" s="2445"/>
      <c r="I45" s="1065"/>
      <c r="J45" s="1065"/>
      <c r="K45" s="1065"/>
      <c r="L45" s="1065"/>
      <c r="M45" s="1065"/>
      <c r="O45" s="2194"/>
      <c r="P45" s="2194"/>
      <c r="Q45" s="2194"/>
      <c r="R45" s="2195"/>
      <c r="S45" s="2195"/>
      <c r="T45" s="2195"/>
      <c r="U45" s="2195"/>
      <c r="V45" s="2195"/>
      <c r="W45" s="2194"/>
      <c r="X45" s="2194"/>
      <c r="Y45" s="2194"/>
      <c r="Z45" s="2194"/>
      <c r="AA45" s="2194"/>
      <c r="AB45" s="2194"/>
      <c r="AC45" s="2195"/>
      <c r="AD45" s="1400"/>
      <c r="AE45" s="1400"/>
      <c r="AF45" s="1400"/>
      <c r="AG45" s="1400"/>
      <c r="AH45" s="1400"/>
      <c r="AI45" s="1400"/>
      <c r="AJ45" s="1400"/>
      <c r="AK45" s="1400"/>
      <c r="AL45" s="1400"/>
      <c r="AM45" s="1400"/>
    </row>
    <row r="46" spans="1:40" s="1399" customFormat="1" ht="24">
      <c r="A46" s="1066" t="s">
        <v>1005</v>
      </c>
      <c r="B46" s="2430" t="s">
        <v>1006</v>
      </c>
      <c r="C46" s="2452" t="s">
        <v>1007</v>
      </c>
      <c r="D46" s="2453" t="s">
        <v>1008</v>
      </c>
      <c r="E46" s="2454" t="s">
        <v>1010</v>
      </c>
      <c r="F46" s="2455" t="s">
        <v>2249</v>
      </c>
      <c r="G46" s="2453" t="s">
        <v>1011</v>
      </c>
      <c r="H46" s="2436" t="s">
        <v>2418</v>
      </c>
      <c r="I46" s="2453" t="s">
        <v>1009</v>
      </c>
      <c r="J46" s="2456" t="s">
        <v>1012</v>
      </c>
      <c r="K46" s="2456" t="s">
        <v>1013</v>
      </c>
      <c r="L46" s="2456" t="s">
        <v>1014</v>
      </c>
      <c r="M46" s="2456" t="s">
        <v>1015</v>
      </c>
      <c r="N46" s="2456" t="s">
        <v>1016</v>
      </c>
      <c r="P46" s="2194"/>
      <c r="Q46" s="2194"/>
      <c r="R46" s="2195"/>
      <c r="S46" s="2195"/>
      <c r="T46" s="2195"/>
      <c r="U46" s="2195"/>
      <c r="V46" s="2195"/>
      <c r="W46" s="2194"/>
      <c r="X46" s="2194"/>
      <c r="Y46" s="2194"/>
      <c r="Z46" s="2194"/>
      <c r="AA46" s="2194"/>
      <c r="AB46" s="2194"/>
      <c r="AC46" s="2194"/>
      <c r="AD46" s="2195"/>
      <c r="AE46" s="1400"/>
      <c r="AF46" s="1400"/>
      <c r="AG46" s="1400"/>
      <c r="AH46" s="1400"/>
      <c r="AI46" s="1400"/>
      <c r="AJ46" s="1400"/>
      <c r="AK46" s="1400"/>
      <c r="AL46" s="1400"/>
      <c r="AM46" s="1400"/>
      <c r="AN46" s="1400"/>
    </row>
    <row r="47" spans="1:40" s="1399" customFormat="1" ht="36">
      <c r="A47" s="1066" t="s">
        <v>1017</v>
      </c>
      <c r="B47" s="2433" t="str">
        <f>估价对象房地状况!C16</f>
        <v>估价对象位于XX商圈，周边商业氛围成熟，人流量大，商业繁华度好</v>
      </c>
      <c r="C47" s="1049"/>
      <c r="D47" s="2439">
        <f t="shared" ref="D47:D55" si="10">SUMIF($J$46:$N$46,C47,J47:N47)</f>
        <v>0</v>
      </c>
      <c r="E47" s="2458">
        <f>ROUND(SUM(D47:D55),4)</f>
        <v>0</v>
      </c>
      <c r="F47" s="2459" t="str">
        <f>IF(E2="商业",SUMIF(L1:L12,G2,N1:N12),"——")</f>
        <v>——</v>
      </c>
      <c r="G47" s="2437"/>
      <c r="H47" s="2483" t="str">
        <f t="shared" ref="H47:H55" si="11">IFERROR(ROUNDDOWN(($F$47*I47/2),4),"——")</f>
        <v>——</v>
      </c>
      <c r="I47" s="2457">
        <v>0.33</v>
      </c>
      <c r="J47" s="2460">
        <f t="shared" ref="J47:J55" si="12">K47+$G47</f>
        <v>0</v>
      </c>
      <c r="K47" s="2460">
        <f t="shared" ref="K47:K55" si="13">$L47+$G47</f>
        <v>0</v>
      </c>
      <c r="L47" s="2460">
        <v>0</v>
      </c>
      <c r="M47" s="2460">
        <f t="shared" ref="M47:N55" si="14">L47-$G47</f>
        <v>0</v>
      </c>
      <c r="N47" s="2460">
        <f t="shared" si="14"/>
        <v>0</v>
      </c>
      <c r="P47" s="2194"/>
      <c r="Q47" s="2194"/>
      <c r="R47" s="2195"/>
      <c r="S47" s="2195"/>
      <c r="T47" s="2195"/>
      <c r="U47" s="2195"/>
      <c r="V47" s="2195"/>
      <c r="W47" s="2194"/>
      <c r="X47" s="2194"/>
      <c r="Y47" s="2194"/>
      <c r="Z47" s="2194"/>
      <c r="AA47" s="2194"/>
      <c r="AB47" s="2194"/>
      <c r="AC47" s="2194"/>
      <c r="AD47" s="2195"/>
      <c r="AE47" s="1400"/>
      <c r="AF47" s="1400"/>
      <c r="AG47" s="1400"/>
      <c r="AH47" s="1400"/>
      <c r="AI47" s="1400"/>
      <c r="AJ47" s="1400"/>
      <c r="AK47" s="1400"/>
      <c r="AL47" s="1400"/>
      <c r="AM47" s="1400"/>
      <c r="AN47" s="1400"/>
    </row>
    <row r="48" spans="1:40" s="1399" customFormat="1" ht="60">
      <c r="A48" s="1066" t="s">
        <v>1018</v>
      </c>
      <c r="B48" s="2430" t="str">
        <f>估价对象房地状况!C18</f>
        <v>估价对象周边道路状况、公共交通通达情况：有836、917、房12等多路公交车，停车便捷程度，综合评价交通便捷度一般</v>
      </c>
      <c r="C48" s="1049"/>
      <c r="D48" s="2439">
        <f t="shared" si="10"/>
        <v>0</v>
      </c>
      <c r="E48" s="2461"/>
      <c r="F48" s="2459"/>
      <c r="G48" s="2437"/>
      <c r="H48" s="2483" t="str">
        <f t="shared" si="11"/>
        <v>——</v>
      </c>
      <c r="I48" s="2457">
        <v>0.25</v>
      </c>
      <c r="J48" s="2460">
        <f t="shared" si="12"/>
        <v>0</v>
      </c>
      <c r="K48" s="2460">
        <f t="shared" si="13"/>
        <v>0</v>
      </c>
      <c r="L48" s="2460">
        <v>0</v>
      </c>
      <c r="M48" s="2460">
        <f t="shared" si="14"/>
        <v>0</v>
      </c>
      <c r="N48" s="2460">
        <f t="shared" si="14"/>
        <v>0</v>
      </c>
      <c r="P48" s="2194"/>
      <c r="Q48" s="2194"/>
      <c r="R48" s="2195"/>
      <c r="S48" s="2195"/>
      <c r="T48" s="2195"/>
      <c r="U48" s="2195"/>
      <c r="V48" s="2195"/>
      <c r="W48" s="2194"/>
      <c r="X48" s="2194"/>
      <c r="Y48" s="2194"/>
      <c r="Z48" s="2194"/>
      <c r="AA48" s="2194"/>
      <c r="AB48" s="2194"/>
      <c r="AC48" s="2194"/>
      <c r="AD48" s="2195"/>
      <c r="AE48" s="1400"/>
      <c r="AF48" s="1400"/>
      <c r="AG48" s="1400"/>
      <c r="AH48" s="1400"/>
      <c r="AI48" s="1400"/>
      <c r="AJ48" s="1400"/>
      <c r="AK48" s="1400"/>
      <c r="AL48" s="1400"/>
      <c r="AM48" s="1400"/>
      <c r="AN48" s="1400"/>
    </row>
    <row r="49" spans="1:40" s="1399" customFormat="1" ht="24">
      <c r="A49" s="1066" t="s">
        <v>1019</v>
      </c>
      <c r="B49" s="2430">
        <f>估价对象房地状况!C19</f>
        <v>0</v>
      </c>
      <c r="C49" s="1049"/>
      <c r="D49" s="2439">
        <f t="shared" si="10"/>
        <v>0</v>
      </c>
      <c r="E49" s="2461"/>
      <c r="F49" s="2459"/>
      <c r="G49" s="2437"/>
      <c r="H49" s="2483" t="str">
        <f t="shared" si="11"/>
        <v>——</v>
      </c>
      <c r="I49" s="2457">
        <v>0.05</v>
      </c>
      <c r="J49" s="2460">
        <f t="shared" si="12"/>
        <v>0</v>
      </c>
      <c r="K49" s="2460">
        <f t="shared" si="13"/>
        <v>0</v>
      </c>
      <c r="L49" s="2460">
        <v>0</v>
      </c>
      <c r="M49" s="2460">
        <f t="shared" si="14"/>
        <v>0</v>
      </c>
      <c r="N49" s="2460">
        <f t="shared" si="14"/>
        <v>0</v>
      </c>
      <c r="P49" s="2194"/>
      <c r="Q49" s="2194"/>
      <c r="R49" s="2195"/>
      <c r="S49" s="2195"/>
      <c r="T49" s="2195"/>
      <c r="U49" s="2195"/>
      <c r="V49" s="2195"/>
      <c r="W49" s="2194"/>
      <c r="X49" s="2194"/>
      <c r="Y49" s="2194"/>
      <c r="Z49" s="2194"/>
      <c r="AA49" s="2194"/>
      <c r="AB49" s="2194"/>
      <c r="AC49" s="2194"/>
      <c r="AD49" s="2195"/>
      <c r="AE49" s="1400"/>
      <c r="AF49" s="1400"/>
      <c r="AG49" s="1400"/>
      <c r="AH49" s="1400"/>
      <c r="AI49" s="1400"/>
      <c r="AJ49" s="1400"/>
      <c r="AK49" s="1400"/>
      <c r="AL49" s="1400"/>
      <c r="AM49" s="1400"/>
      <c r="AN49" s="1400"/>
    </row>
    <row r="50" spans="1:40" s="1399" customFormat="1" ht="36">
      <c r="A50" s="1066" t="s">
        <v>1020</v>
      </c>
      <c r="B50" s="3116" t="s">
        <v>2938</v>
      </c>
      <c r="C50" s="1049"/>
      <c r="D50" s="2439">
        <f t="shared" si="10"/>
        <v>0</v>
      </c>
      <c r="E50" s="2461"/>
      <c r="F50" s="2459"/>
      <c r="G50" s="2437"/>
      <c r="H50" s="2483" t="str">
        <f t="shared" si="11"/>
        <v>——</v>
      </c>
      <c r="I50" s="2457">
        <v>0.05</v>
      </c>
      <c r="J50" s="2460">
        <f t="shared" si="12"/>
        <v>0</v>
      </c>
      <c r="K50" s="2460">
        <f t="shared" si="13"/>
        <v>0</v>
      </c>
      <c r="L50" s="2460">
        <v>0</v>
      </c>
      <c r="M50" s="2460">
        <f t="shared" si="14"/>
        <v>0</v>
      </c>
      <c r="N50" s="2460">
        <f t="shared" si="14"/>
        <v>0</v>
      </c>
      <c r="P50" s="2194"/>
      <c r="Q50" s="2194"/>
      <c r="R50" s="2195"/>
      <c r="S50" s="2195"/>
      <c r="T50" s="2195"/>
      <c r="U50" s="2195"/>
      <c r="V50" s="2195"/>
      <c r="W50" s="2194"/>
      <c r="X50" s="2194"/>
      <c r="Y50" s="2194"/>
      <c r="Z50" s="2194"/>
      <c r="AA50" s="2194"/>
      <c r="AB50" s="2194"/>
      <c r="AC50" s="2194"/>
      <c r="AD50" s="2195"/>
      <c r="AE50" s="1400"/>
      <c r="AF50" s="1400"/>
      <c r="AG50" s="1400"/>
      <c r="AH50" s="1400"/>
      <c r="AI50" s="1400"/>
      <c r="AJ50" s="1400"/>
      <c r="AK50" s="1400"/>
      <c r="AL50" s="1400"/>
      <c r="AM50" s="1400"/>
      <c r="AN50" s="1400"/>
    </row>
    <row r="51" spans="1:40" s="1399" customFormat="1" ht="24">
      <c r="A51" s="1066" t="s">
        <v>1021</v>
      </c>
      <c r="B51" s="2430">
        <f>估价对象房地状况!C24</f>
        <v>0</v>
      </c>
      <c r="C51" s="1049"/>
      <c r="D51" s="2439">
        <f t="shared" si="10"/>
        <v>0</v>
      </c>
      <c r="E51" s="2461"/>
      <c r="F51" s="2459"/>
      <c r="G51" s="2437"/>
      <c r="H51" s="2483" t="str">
        <f t="shared" si="11"/>
        <v>——</v>
      </c>
      <c r="I51" s="2457">
        <v>0.08</v>
      </c>
      <c r="J51" s="2460">
        <f t="shared" si="12"/>
        <v>0</v>
      </c>
      <c r="K51" s="2460">
        <f t="shared" si="13"/>
        <v>0</v>
      </c>
      <c r="L51" s="2460">
        <v>0</v>
      </c>
      <c r="M51" s="2460">
        <f t="shared" si="14"/>
        <v>0</v>
      </c>
      <c r="N51" s="2460">
        <f t="shared" si="14"/>
        <v>0</v>
      </c>
      <c r="P51" s="2194"/>
      <c r="Q51" s="2194"/>
      <c r="R51" s="2195"/>
      <c r="S51" s="2195"/>
      <c r="T51" s="2195"/>
      <c r="U51" s="2195"/>
      <c r="V51" s="2195"/>
      <c r="W51" s="2194"/>
      <c r="X51" s="2194"/>
      <c r="Y51" s="2194"/>
      <c r="Z51" s="2194"/>
      <c r="AA51" s="2194"/>
      <c r="AB51" s="2194"/>
      <c r="AC51" s="2194"/>
      <c r="AD51" s="2195"/>
      <c r="AE51" s="1400"/>
      <c r="AF51" s="1400"/>
      <c r="AG51" s="1400"/>
      <c r="AH51" s="1400"/>
      <c r="AI51" s="1400"/>
      <c r="AJ51" s="1400"/>
      <c r="AK51" s="1400"/>
      <c r="AL51" s="1400"/>
      <c r="AM51" s="1400"/>
      <c r="AN51" s="1400"/>
    </row>
    <row r="52" spans="1:40" s="1399" customFormat="1" ht="24">
      <c r="A52" s="1066" t="s">
        <v>1022</v>
      </c>
      <c r="B52" s="3115" t="s">
        <v>2937</v>
      </c>
      <c r="C52" s="1049"/>
      <c r="D52" s="2439">
        <f t="shared" si="10"/>
        <v>0</v>
      </c>
      <c r="E52" s="2461"/>
      <c r="F52" s="2459"/>
      <c r="G52" s="2437"/>
      <c r="H52" s="2483" t="str">
        <f t="shared" si="11"/>
        <v>——</v>
      </c>
      <c r="I52" s="2457">
        <v>0.03</v>
      </c>
      <c r="J52" s="2460">
        <f t="shared" si="12"/>
        <v>0</v>
      </c>
      <c r="K52" s="2460">
        <f t="shared" si="13"/>
        <v>0</v>
      </c>
      <c r="L52" s="2460">
        <v>0</v>
      </c>
      <c r="M52" s="2460">
        <f t="shared" si="14"/>
        <v>0</v>
      </c>
      <c r="N52" s="2460">
        <f t="shared" si="14"/>
        <v>0</v>
      </c>
      <c r="P52" s="2194"/>
      <c r="Q52" s="2194"/>
      <c r="R52" s="2195"/>
      <c r="S52" s="2195"/>
      <c r="T52" s="2195"/>
      <c r="U52" s="2195"/>
      <c r="V52" s="2195"/>
      <c r="W52" s="2194"/>
      <c r="X52" s="2194"/>
      <c r="Y52" s="2194"/>
      <c r="Z52" s="2194"/>
      <c r="AA52" s="2194"/>
      <c r="AB52" s="2194"/>
      <c r="AC52" s="2194"/>
      <c r="AD52" s="2195"/>
      <c r="AE52" s="1400"/>
      <c r="AF52" s="1400"/>
      <c r="AG52" s="1400"/>
      <c r="AH52" s="1400"/>
      <c r="AI52" s="1400"/>
      <c r="AJ52" s="1400"/>
      <c r="AK52" s="1400"/>
      <c r="AL52" s="1400"/>
      <c r="AM52" s="1400"/>
      <c r="AN52" s="1400"/>
    </row>
    <row r="53" spans="1:40" s="1399" customFormat="1" ht="24">
      <c r="A53" s="2462" t="s">
        <v>1023</v>
      </c>
      <c r="B53" s="2431" t="str">
        <f>估价对象房地状况!C21</f>
        <v>估价对象所在区域公共配套设施齐备情况</v>
      </c>
      <c r="C53" s="1049"/>
      <c r="D53" s="2439">
        <f t="shared" si="10"/>
        <v>0</v>
      </c>
      <c r="E53" s="2461"/>
      <c r="F53" s="2459"/>
      <c r="G53" s="2437"/>
      <c r="H53" s="2483" t="str">
        <f t="shared" si="11"/>
        <v>——</v>
      </c>
      <c r="I53" s="2457">
        <v>0.05</v>
      </c>
      <c r="J53" s="2460">
        <f t="shared" si="12"/>
        <v>0</v>
      </c>
      <c r="K53" s="2460">
        <f t="shared" si="13"/>
        <v>0</v>
      </c>
      <c r="L53" s="2460">
        <v>0</v>
      </c>
      <c r="M53" s="2460">
        <f t="shared" si="14"/>
        <v>0</v>
      </c>
      <c r="N53" s="2460">
        <f t="shared" si="14"/>
        <v>0</v>
      </c>
      <c r="P53" s="2194"/>
      <c r="Q53" s="2194"/>
      <c r="R53" s="2195"/>
      <c r="S53" s="2195"/>
      <c r="T53" s="2195"/>
      <c r="U53" s="2195"/>
      <c r="V53" s="2195"/>
      <c r="W53" s="2194"/>
      <c r="X53" s="2194"/>
      <c r="Y53" s="2194"/>
      <c r="Z53" s="2194"/>
      <c r="AA53" s="2194"/>
      <c r="AB53" s="2194"/>
      <c r="AC53" s="2194"/>
      <c r="AD53" s="2195"/>
      <c r="AE53" s="1400"/>
      <c r="AF53" s="1400"/>
      <c r="AG53" s="1400"/>
      <c r="AH53" s="1400"/>
      <c r="AI53" s="1400"/>
      <c r="AJ53" s="1400"/>
      <c r="AK53" s="1400"/>
      <c r="AL53" s="1400"/>
      <c r="AM53" s="1400"/>
      <c r="AN53" s="1400"/>
    </row>
    <row r="54" spans="1:40" s="1399" customFormat="1" ht="24">
      <c r="A54" s="2462" t="s">
        <v>1024</v>
      </c>
      <c r="B54" s="2430" t="str">
        <f>估价对象房地状况!C22</f>
        <v>估价对象所在区域基础设施水平</v>
      </c>
      <c r="C54" s="1049"/>
      <c r="D54" s="2439">
        <f t="shared" si="10"/>
        <v>0</v>
      </c>
      <c r="E54" s="2461"/>
      <c r="F54" s="2459"/>
      <c r="G54" s="2437"/>
      <c r="H54" s="2483" t="str">
        <f t="shared" si="11"/>
        <v>——</v>
      </c>
      <c r="I54" s="2457">
        <v>0.1</v>
      </c>
      <c r="J54" s="2460">
        <f t="shared" si="12"/>
        <v>0</v>
      </c>
      <c r="K54" s="2460">
        <f t="shared" si="13"/>
        <v>0</v>
      </c>
      <c r="L54" s="2460">
        <v>0</v>
      </c>
      <c r="M54" s="2460">
        <f t="shared" si="14"/>
        <v>0</v>
      </c>
      <c r="N54" s="2460">
        <f t="shared" si="14"/>
        <v>0</v>
      </c>
      <c r="P54" s="2194"/>
      <c r="Q54" s="2194"/>
      <c r="R54" s="2195"/>
      <c r="S54" s="2195"/>
      <c r="T54" s="2195"/>
      <c r="U54" s="2195"/>
      <c r="V54" s="2195"/>
      <c r="W54" s="2194"/>
      <c r="X54" s="2194"/>
      <c r="Y54" s="2194"/>
      <c r="Z54" s="2194"/>
      <c r="AA54" s="2194"/>
      <c r="AB54" s="2194"/>
      <c r="AC54" s="2194"/>
      <c r="AD54" s="2195"/>
      <c r="AE54" s="1400"/>
      <c r="AF54" s="1400"/>
      <c r="AG54" s="1400"/>
      <c r="AH54" s="1400"/>
      <c r="AI54" s="1400"/>
      <c r="AJ54" s="1400"/>
      <c r="AK54" s="1400"/>
      <c r="AL54" s="1400"/>
      <c r="AM54" s="1400"/>
      <c r="AN54" s="1400"/>
    </row>
    <row r="55" spans="1:40" s="1399" customFormat="1" ht="60.75" thickBot="1">
      <c r="A55" s="2463" t="s">
        <v>1025</v>
      </c>
      <c r="B55" s="2434" t="str">
        <f>估价对象房地状况!C20</f>
        <v>周边2公里区域自然环境：牛口峪公园、周口店人民公园；人文环境：北京猿人遗址；综合评价环境状况较好</v>
      </c>
      <c r="C55" s="1049"/>
      <c r="D55" s="2439">
        <f t="shared" si="10"/>
        <v>0</v>
      </c>
      <c r="E55" s="2465"/>
      <c r="F55" s="2459"/>
      <c r="G55" s="2437"/>
      <c r="H55" s="2483" t="str">
        <f t="shared" si="11"/>
        <v>——</v>
      </c>
      <c r="I55" s="2464">
        <v>0.06</v>
      </c>
      <c r="J55" s="2460">
        <f t="shared" si="12"/>
        <v>0</v>
      </c>
      <c r="K55" s="2460">
        <f t="shared" si="13"/>
        <v>0</v>
      </c>
      <c r="L55" s="2460">
        <v>0</v>
      </c>
      <c r="M55" s="2460">
        <f t="shared" si="14"/>
        <v>0</v>
      </c>
      <c r="N55" s="2460">
        <f t="shared" si="14"/>
        <v>0</v>
      </c>
      <c r="P55" s="2194"/>
      <c r="Q55" s="2194"/>
      <c r="R55" s="2195"/>
      <c r="S55" s="2195"/>
      <c r="T55" s="2195"/>
      <c r="U55" s="2195"/>
      <c r="V55" s="2195"/>
      <c r="W55" s="2194"/>
      <c r="X55" s="2194"/>
      <c r="Y55" s="2194"/>
      <c r="Z55" s="2194"/>
      <c r="AA55" s="2194"/>
      <c r="AB55" s="2194"/>
      <c r="AC55" s="2194"/>
      <c r="AD55" s="2195"/>
      <c r="AE55" s="1400"/>
      <c r="AF55" s="1400"/>
      <c r="AG55" s="1400"/>
      <c r="AH55" s="1400"/>
      <c r="AI55" s="1400"/>
      <c r="AJ55" s="1400"/>
      <c r="AK55" s="1400"/>
      <c r="AL55" s="1400"/>
      <c r="AM55" s="1400"/>
      <c r="AN55" s="1400"/>
    </row>
    <row r="56" spans="1:40" s="1399" customFormat="1" ht="15">
      <c r="A56" s="2446" t="s">
        <v>1026</v>
      </c>
      <c r="B56" s="2447">
        <f>1+E58</f>
        <v>1</v>
      </c>
      <c r="C56" s="2466"/>
      <c r="D56" s="2449"/>
      <c r="E56" s="2450"/>
      <c r="F56" s="2451"/>
      <c r="G56" s="2445"/>
      <c r="H56" s="2445"/>
      <c r="I56" s="2445"/>
      <c r="J56" s="1065"/>
      <c r="K56" s="1065"/>
      <c r="L56" s="1065"/>
      <c r="M56" s="1065"/>
      <c r="N56" s="1065"/>
      <c r="P56" s="2194"/>
      <c r="Q56" s="2194"/>
      <c r="R56" s="2195"/>
      <c r="S56" s="2195"/>
      <c r="T56" s="2195"/>
      <c r="U56" s="2195"/>
      <c r="V56" s="2195"/>
      <c r="W56" s="2194"/>
      <c r="X56" s="2194"/>
      <c r="Y56" s="2194"/>
      <c r="Z56" s="2194"/>
      <c r="AA56" s="2194"/>
      <c r="AB56" s="2194"/>
      <c r="AC56" s="2194"/>
      <c r="AD56" s="2195"/>
      <c r="AE56" s="1400"/>
      <c r="AF56" s="1400"/>
      <c r="AG56" s="1400"/>
      <c r="AH56" s="1400"/>
      <c r="AI56" s="1400"/>
      <c r="AJ56" s="1400"/>
      <c r="AK56" s="1400"/>
      <c r="AL56" s="1400"/>
      <c r="AM56" s="1400"/>
      <c r="AN56" s="1400"/>
    </row>
    <row r="57" spans="1:40" s="1399" customFormat="1" ht="24">
      <c r="A57" s="1066" t="s">
        <v>1005</v>
      </c>
      <c r="B57" s="2430"/>
      <c r="C57" s="2452" t="s">
        <v>1007</v>
      </c>
      <c r="D57" s="2453" t="s">
        <v>1008</v>
      </c>
      <c r="E57" s="2454" t="s">
        <v>1010</v>
      </c>
      <c r="F57" s="2455" t="s">
        <v>2250</v>
      </c>
      <c r="G57" s="2453" t="s">
        <v>1011</v>
      </c>
      <c r="H57" s="2436" t="s">
        <v>2418</v>
      </c>
      <c r="I57" s="2453" t="s">
        <v>1009</v>
      </c>
      <c r="J57" s="2456" t="s">
        <v>1012</v>
      </c>
      <c r="K57" s="2456" t="s">
        <v>1013</v>
      </c>
      <c r="L57" s="2456" t="s">
        <v>1014</v>
      </c>
      <c r="M57" s="2456" t="s">
        <v>1015</v>
      </c>
      <c r="N57" s="2456" t="s">
        <v>1016</v>
      </c>
      <c r="P57" s="2194"/>
      <c r="Q57" s="2194"/>
      <c r="R57" s="2195"/>
      <c r="S57" s="2195"/>
      <c r="T57" s="2195"/>
      <c r="U57" s="2195"/>
      <c r="V57" s="2195"/>
      <c r="W57" s="2194"/>
      <c r="X57" s="2194"/>
      <c r="Y57" s="2194"/>
      <c r="Z57" s="2194"/>
      <c r="AA57" s="2194"/>
      <c r="AB57" s="2194"/>
      <c r="AC57" s="2194"/>
      <c r="AD57" s="2195"/>
      <c r="AE57" s="1400"/>
      <c r="AF57" s="1400"/>
      <c r="AG57" s="1400"/>
      <c r="AH57" s="1400"/>
      <c r="AI57" s="1400"/>
      <c r="AJ57" s="1400"/>
      <c r="AK57" s="1400"/>
      <c r="AL57" s="1400"/>
      <c r="AM57" s="1400"/>
      <c r="AN57" s="1400"/>
    </row>
    <row r="58" spans="1:40" s="1399" customFormat="1" ht="36">
      <c r="A58" s="1066" t="s">
        <v>1027</v>
      </c>
      <c r="B58" s="2433" t="str">
        <f>估价对象房地状况!C17</f>
        <v>估价对象位于XX商圈，周边办公楼项目较多，入驻率高，办公集聚程度较好</v>
      </c>
      <c r="C58" s="1049"/>
      <c r="D58" s="2439">
        <f t="shared" ref="D58:D66" si="15">SUMIF($J$57:$N$57,C58,J58:N58)</f>
        <v>0</v>
      </c>
      <c r="E58" s="2458">
        <f>ROUND(SUM(D58:D66),4)</f>
        <v>0</v>
      </c>
      <c r="F58" s="2459" t="str">
        <f>IF(E2="办公",SUMIF(L1:L12,G2,N1:N12),"——")</f>
        <v>——</v>
      </c>
      <c r="G58" s="2437"/>
      <c r="H58" s="2483" t="str">
        <f>IFERROR(ROUNDDOWN($F$58*I58/2,4),"——")</f>
        <v>——</v>
      </c>
      <c r="I58" s="2457">
        <v>0.24</v>
      </c>
      <c r="J58" s="2460">
        <f t="shared" ref="J58:J66" si="16">K58+$G58</f>
        <v>0</v>
      </c>
      <c r="K58" s="2460">
        <f t="shared" ref="K58:K66" si="17">$L58+$G58</f>
        <v>0</v>
      </c>
      <c r="L58" s="2460">
        <v>0</v>
      </c>
      <c r="M58" s="2460">
        <f t="shared" ref="M58:N66" si="18">L58-$G58</f>
        <v>0</v>
      </c>
      <c r="N58" s="2460">
        <f t="shared" si="18"/>
        <v>0</v>
      </c>
      <c r="P58" s="2194"/>
      <c r="Q58" s="2194"/>
      <c r="R58" s="2195"/>
      <c r="S58" s="2195"/>
      <c r="T58" s="2195"/>
      <c r="U58" s="2195"/>
      <c r="V58" s="2195"/>
      <c r="W58" s="2194"/>
      <c r="X58" s="2194"/>
      <c r="Y58" s="2194"/>
      <c r="Z58" s="2194"/>
      <c r="AA58" s="2194"/>
      <c r="AB58" s="2194"/>
      <c r="AC58" s="2194"/>
      <c r="AD58" s="2195"/>
      <c r="AE58" s="1400"/>
      <c r="AF58" s="1400"/>
      <c r="AG58" s="1400"/>
      <c r="AH58" s="1400"/>
      <c r="AI58" s="1400"/>
      <c r="AJ58" s="1400"/>
      <c r="AK58" s="1400"/>
      <c r="AL58" s="1400"/>
      <c r="AM58" s="1400"/>
      <c r="AN58" s="1400"/>
    </row>
    <row r="59" spans="1:40" s="1399" customFormat="1" ht="60">
      <c r="A59" s="1066" t="s">
        <v>1018</v>
      </c>
      <c r="B59" s="2430" t="str">
        <f>估价对象房地状况!C18</f>
        <v>估价对象周边道路状况、公共交通通达情况：有836、917、房12等多路公交车，停车便捷程度，综合评价交通便捷度一般</v>
      </c>
      <c r="C59" s="1049"/>
      <c r="D59" s="2439">
        <f t="shared" si="15"/>
        <v>0</v>
      </c>
      <c r="E59" s="2461"/>
      <c r="F59" s="2459"/>
      <c r="G59" s="2437"/>
      <c r="H59" s="2438" t="str">
        <f t="shared" ref="H59:H66" si="19">IFERROR($F$58*I59/2,"——")</f>
        <v>——</v>
      </c>
      <c r="I59" s="2457">
        <v>0.3</v>
      </c>
      <c r="J59" s="2460">
        <f t="shared" si="16"/>
        <v>0</v>
      </c>
      <c r="K59" s="2460">
        <f t="shared" si="17"/>
        <v>0</v>
      </c>
      <c r="L59" s="2460">
        <v>0</v>
      </c>
      <c r="M59" s="2460">
        <f t="shared" si="18"/>
        <v>0</v>
      </c>
      <c r="N59" s="2460">
        <f t="shared" si="18"/>
        <v>0</v>
      </c>
      <c r="P59" s="2194"/>
      <c r="Q59" s="2194"/>
      <c r="R59" s="2195"/>
      <c r="S59" s="2195"/>
      <c r="T59" s="2195"/>
      <c r="U59" s="2195"/>
      <c r="V59" s="2195"/>
      <c r="W59" s="2194"/>
      <c r="X59" s="2194"/>
      <c r="Y59" s="2194"/>
      <c r="Z59" s="2194"/>
      <c r="AA59" s="2194"/>
      <c r="AB59" s="2194"/>
      <c r="AC59" s="2194"/>
      <c r="AD59" s="2195"/>
      <c r="AE59" s="1400"/>
      <c r="AF59" s="1400"/>
      <c r="AG59" s="1400"/>
      <c r="AH59" s="1400"/>
      <c r="AI59" s="1400"/>
      <c r="AJ59" s="1400"/>
      <c r="AK59" s="1400"/>
      <c r="AL59" s="1400"/>
      <c r="AM59" s="1400"/>
      <c r="AN59" s="1400"/>
    </row>
    <row r="60" spans="1:40" s="1399" customFormat="1" ht="24">
      <c r="A60" s="1066" t="s">
        <v>1019</v>
      </c>
      <c r="B60" s="2430">
        <f>估价对象房地状况!C19</f>
        <v>0</v>
      </c>
      <c r="C60" s="1049"/>
      <c r="D60" s="2439">
        <f t="shared" si="15"/>
        <v>0</v>
      </c>
      <c r="E60" s="2461"/>
      <c r="F60" s="2459"/>
      <c r="G60" s="2437"/>
      <c r="H60" s="2438" t="str">
        <f t="shared" si="19"/>
        <v>——</v>
      </c>
      <c r="I60" s="2457">
        <v>0.08</v>
      </c>
      <c r="J60" s="2460">
        <f t="shared" si="16"/>
        <v>0</v>
      </c>
      <c r="K60" s="2460">
        <f t="shared" si="17"/>
        <v>0</v>
      </c>
      <c r="L60" s="2460">
        <v>0</v>
      </c>
      <c r="M60" s="2460">
        <f t="shared" si="18"/>
        <v>0</v>
      </c>
      <c r="N60" s="2460">
        <f t="shared" si="18"/>
        <v>0</v>
      </c>
      <c r="P60" s="2194"/>
      <c r="Q60" s="2194"/>
      <c r="R60" s="2195"/>
      <c r="S60" s="2195"/>
      <c r="T60" s="2195"/>
      <c r="U60" s="2195"/>
      <c r="V60" s="2195"/>
      <c r="W60" s="2194"/>
      <c r="X60" s="2194"/>
      <c r="Y60" s="2194"/>
      <c r="Z60" s="2194"/>
      <c r="AA60" s="2194"/>
      <c r="AB60" s="2194"/>
      <c r="AC60" s="2194"/>
      <c r="AD60" s="2195"/>
      <c r="AE60" s="1400"/>
      <c r="AF60" s="1400"/>
      <c r="AG60" s="1400"/>
      <c r="AH60" s="1400"/>
      <c r="AI60" s="1400"/>
      <c r="AJ60" s="1400"/>
      <c r="AK60" s="1400"/>
      <c r="AL60" s="1400"/>
      <c r="AM60" s="1400"/>
      <c r="AN60" s="1400"/>
    </row>
    <row r="61" spans="1:40" s="1399" customFormat="1" ht="36">
      <c r="A61" s="1066" t="s">
        <v>1020</v>
      </c>
      <c r="B61" s="3116" t="s">
        <v>2939</v>
      </c>
      <c r="C61" s="1049"/>
      <c r="D61" s="2439">
        <f t="shared" si="15"/>
        <v>0</v>
      </c>
      <c r="E61" s="2461"/>
      <c r="F61" s="2459"/>
      <c r="G61" s="2437"/>
      <c r="H61" s="2438" t="str">
        <f t="shared" si="19"/>
        <v>——</v>
      </c>
      <c r="I61" s="2457">
        <v>0.04</v>
      </c>
      <c r="J61" s="2460">
        <f t="shared" si="16"/>
        <v>0</v>
      </c>
      <c r="K61" s="2460">
        <f t="shared" si="17"/>
        <v>0</v>
      </c>
      <c r="L61" s="2460">
        <v>0</v>
      </c>
      <c r="M61" s="2460">
        <f t="shared" si="18"/>
        <v>0</v>
      </c>
      <c r="N61" s="2460">
        <f t="shared" si="18"/>
        <v>0</v>
      </c>
      <c r="P61" s="2194"/>
      <c r="Q61" s="2194"/>
      <c r="R61" s="2195"/>
      <c r="S61" s="2195"/>
      <c r="T61" s="2195"/>
      <c r="U61" s="2195"/>
      <c r="V61" s="2195"/>
      <c r="W61" s="2194"/>
      <c r="X61" s="2194"/>
      <c r="Y61" s="2194"/>
      <c r="Z61" s="2194"/>
      <c r="AA61" s="2194"/>
      <c r="AB61" s="2194"/>
      <c r="AC61" s="2194"/>
      <c r="AD61" s="2195"/>
      <c r="AE61" s="1400"/>
      <c r="AF61" s="1400"/>
      <c r="AG61" s="1400"/>
      <c r="AH61" s="1400"/>
      <c r="AI61" s="1400"/>
      <c r="AJ61" s="1400"/>
      <c r="AK61" s="1400"/>
      <c r="AL61" s="1400"/>
      <c r="AM61" s="1400"/>
      <c r="AN61" s="1400"/>
    </row>
    <row r="62" spans="1:40" s="1399" customFormat="1" ht="24">
      <c r="A62" s="1066" t="s">
        <v>1021</v>
      </c>
      <c r="B62" s="2430">
        <f>估价对象房地状况!C24</f>
        <v>0</v>
      </c>
      <c r="C62" s="1049"/>
      <c r="D62" s="2439">
        <f t="shared" si="15"/>
        <v>0</v>
      </c>
      <c r="E62" s="2461"/>
      <c r="F62" s="2459"/>
      <c r="G62" s="2437"/>
      <c r="H62" s="2438" t="str">
        <f t="shared" si="19"/>
        <v>——</v>
      </c>
      <c r="I62" s="2457">
        <v>0.05</v>
      </c>
      <c r="J62" s="2460">
        <f t="shared" si="16"/>
        <v>0</v>
      </c>
      <c r="K62" s="2460">
        <f t="shared" si="17"/>
        <v>0</v>
      </c>
      <c r="L62" s="2460">
        <v>0</v>
      </c>
      <c r="M62" s="2460">
        <f t="shared" si="18"/>
        <v>0</v>
      </c>
      <c r="N62" s="2460">
        <f t="shared" si="18"/>
        <v>0</v>
      </c>
      <c r="P62" s="2194"/>
      <c r="Q62" s="2194"/>
      <c r="R62" s="2195"/>
      <c r="S62" s="2195"/>
      <c r="T62" s="2195"/>
      <c r="U62" s="2195"/>
      <c r="V62" s="2195"/>
      <c r="W62" s="2194"/>
      <c r="X62" s="2194"/>
      <c r="Y62" s="2194"/>
      <c r="Z62" s="2194"/>
      <c r="AA62" s="2194"/>
      <c r="AB62" s="2194"/>
      <c r="AC62" s="2194"/>
      <c r="AD62" s="2195"/>
      <c r="AE62" s="1400"/>
      <c r="AF62" s="1400"/>
      <c r="AG62" s="1400"/>
      <c r="AH62" s="1400"/>
      <c r="AI62" s="1400"/>
      <c r="AJ62" s="1400"/>
      <c r="AK62" s="1400"/>
      <c r="AL62" s="1400"/>
      <c r="AM62" s="1400"/>
      <c r="AN62" s="1400"/>
    </row>
    <row r="63" spans="1:40" s="1399" customFormat="1" ht="24">
      <c r="A63" s="1066" t="s">
        <v>1022</v>
      </c>
      <c r="B63" s="3115" t="s">
        <v>2937</v>
      </c>
      <c r="C63" s="1049"/>
      <c r="D63" s="2439">
        <f t="shared" si="15"/>
        <v>0</v>
      </c>
      <c r="E63" s="2461"/>
      <c r="F63" s="2459"/>
      <c r="G63" s="2437"/>
      <c r="H63" s="2438" t="str">
        <f t="shared" si="19"/>
        <v>——</v>
      </c>
      <c r="I63" s="2457">
        <v>0.05</v>
      </c>
      <c r="J63" s="2460">
        <f t="shared" si="16"/>
        <v>0</v>
      </c>
      <c r="K63" s="2460">
        <f t="shared" si="17"/>
        <v>0</v>
      </c>
      <c r="L63" s="2460">
        <v>0</v>
      </c>
      <c r="M63" s="2460">
        <f t="shared" si="18"/>
        <v>0</v>
      </c>
      <c r="N63" s="2460">
        <f t="shared" si="18"/>
        <v>0</v>
      </c>
      <c r="P63" s="2194"/>
      <c r="Q63" s="2194"/>
      <c r="R63" s="2195"/>
      <c r="S63" s="2195"/>
      <c r="T63" s="2195"/>
      <c r="U63" s="2195"/>
      <c r="V63" s="2195"/>
      <c r="W63" s="2194"/>
      <c r="X63" s="2194"/>
      <c r="Y63" s="2194"/>
      <c r="Z63" s="2194"/>
      <c r="AA63" s="2194"/>
      <c r="AB63" s="2194"/>
      <c r="AC63" s="2194"/>
      <c r="AD63" s="2195"/>
      <c r="AE63" s="1400"/>
      <c r="AF63" s="1400"/>
      <c r="AG63" s="1400"/>
      <c r="AH63" s="1400"/>
      <c r="AI63" s="1400"/>
      <c r="AJ63" s="1400"/>
      <c r="AK63" s="1400"/>
      <c r="AL63" s="1400"/>
      <c r="AM63" s="1400"/>
      <c r="AN63" s="1400"/>
    </row>
    <row r="64" spans="1:40" s="1399" customFormat="1" ht="24">
      <c r="A64" s="1066" t="s">
        <v>1023</v>
      </c>
      <c r="B64" s="2431" t="str">
        <f>估价对象房地状况!C21</f>
        <v>估价对象所在区域公共配套设施齐备情况</v>
      </c>
      <c r="C64" s="1049"/>
      <c r="D64" s="2439">
        <f t="shared" si="15"/>
        <v>0</v>
      </c>
      <c r="E64" s="2461"/>
      <c r="F64" s="2459"/>
      <c r="G64" s="2437"/>
      <c r="H64" s="2438" t="str">
        <f t="shared" si="19"/>
        <v>——</v>
      </c>
      <c r="I64" s="2457">
        <v>0.06</v>
      </c>
      <c r="J64" s="2460">
        <f t="shared" si="16"/>
        <v>0</v>
      </c>
      <c r="K64" s="2460">
        <f t="shared" si="17"/>
        <v>0</v>
      </c>
      <c r="L64" s="2460">
        <v>0</v>
      </c>
      <c r="M64" s="2460">
        <f t="shared" si="18"/>
        <v>0</v>
      </c>
      <c r="N64" s="2460">
        <f t="shared" si="18"/>
        <v>0</v>
      </c>
      <c r="P64" s="2194"/>
      <c r="Q64" s="2194"/>
      <c r="R64" s="2195"/>
      <c r="S64" s="2195"/>
      <c r="T64" s="2195"/>
      <c r="U64" s="2195"/>
      <c r="V64" s="2195"/>
      <c r="W64" s="2194"/>
      <c r="X64" s="2194"/>
      <c r="Y64" s="2194"/>
      <c r="Z64" s="2194"/>
      <c r="AA64" s="2194"/>
      <c r="AB64" s="2194"/>
      <c r="AC64" s="2194"/>
      <c r="AD64" s="2195"/>
      <c r="AE64" s="1400"/>
      <c r="AF64" s="1400"/>
      <c r="AG64" s="1400"/>
      <c r="AH64" s="1400"/>
      <c r="AI64" s="1400"/>
      <c r="AJ64" s="1400"/>
      <c r="AK64" s="1400"/>
      <c r="AL64" s="1400"/>
      <c r="AM64" s="1400"/>
      <c r="AN64" s="1400"/>
    </row>
    <row r="65" spans="1:40" s="1399" customFormat="1" ht="24">
      <c r="A65" s="1066" t="s">
        <v>1024</v>
      </c>
      <c r="B65" s="2431" t="str">
        <f>估价对象房地状况!C22</f>
        <v>估价对象所在区域基础设施水平</v>
      </c>
      <c r="C65" s="1049"/>
      <c r="D65" s="2439">
        <f t="shared" si="15"/>
        <v>0</v>
      </c>
      <c r="E65" s="2461"/>
      <c r="F65" s="2459"/>
      <c r="G65" s="2437"/>
      <c r="H65" s="2438" t="str">
        <f t="shared" si="19"/>
        <v>——</v>
      </c>
      <c r="I65" s="2457">
        <v>0.12</v>
      </c>
      <c r="J65" s="2460">
        <f t="shared" si="16"/>
        <v>0</v>
      </c>
      <c r="K65" s="2460">
        <f t="shared" si="17"/>
        <v>0</v>
      </c>
      <c r="L65" s="2460">
        <v>0</v>
      </c>
      <c r="M65" s="2460">
        <f t="shared" si="18"/>
        <v>0</v>
      </c>
      <c r="N65" s="2460">
        <f t="shared" si="18"/>
        <v>0</v>
      </c>
      <c r="P65" s="2194"/>
      <c r="Q65" s="2194"/>
      <c r="R65" s="2195"/>
      <c r="S65" s="2195"/>
      <c r="T65" s="2195"/>
      <c r="U65" s="2195"/>
      <c r="V65" s="2195"/>
      <c r="W65" s="2194"/>
      <c r="X65" s="2194"/>
      <c r="Y65" s="2194"/>
      <c r="Z65" s="2194"/>
      <c r="AA65" s="2194"/>
      <c r="AB65" s="2194"/>
      <c r="AC65" s="2194"/>
      <c r="AD65" s="2195"/>
      <c r="AE65" s="1400"/>
      <c r="AF65" s="1400"/>
      <c r="AG65" s="1400"/>
      <c r="AH65" s="1400"/>
      <c r="AI65" s="1400"/>
      <c r="AJ65" s="1400"/>
      <c r="AK65" s="1400"/>
      <c r="AL65" s="1400"/>
      <c r="AM65" s="1400"/>
      <c r="AN65" s="1400"/>
    </row>
    <row r="66" spans="1:40" s="1399" customFormat="1" ht="60.75" thickBot="1">
      <c r="A66" s="2463" t="s">
        <v>1025</v>
      </c>
      <c r="B66" s="2435" t="str">
        <f>估价对象房地状况!C20</f>
        <v>周边2公里区域自然环境：牛口峪公园、周口店人民公园；人文环境：北京猿人遗址；综合评价环境状况较好</v>
      </c>
      <c r="C66" s="1049"/>
      <c r="D66" s="2439">
        <f t="shared" si="15"/>
        <v>0</v>
      </c>
      <c r="E66" s="2465"/>
      <c r="F66" s="2459"/>
      <c r="G66" s="2437"/>
      <c r="H66" s="2438" t="str">
        <f t="shared" si="19"/>
        <v>——</v>
      </c>
      <c r="I66" s="2464">
        <v>0.06</v>
      </c>
      <c r="J66" s="2460">
        <f t="shared" si="16"/>
        <v>0</v>
      </c>
      <c r="K66" s="2460">
        <f t="shared" si="17"/>
        <v>0</v>
      </c>
      <c r="L66" s="2460">
        <v>0</v>
      </c>
      <c r="M66" s="2460">
        <f t="shared" si="18"/>
        <v>0</v>
      </c>
      <c r="N66" s="2460">
        <f t="shared" si="18"/>
        <v>0</v>
      </c>
      <c r="P66" s="2194"/>
      <c r="Q66" s="2194"/>
      <c r="R66" s="2195"/>
      <c r="S66" s="2195"/>
      <c r="T66" s="2195"/>
      <c r="U66" s="2195"/>
      <c r="V66" s="2195"/>
      <c r="W66" s="2194"/>
      <c r="X66" s="2194"/>
      <c r="Y66" s="2194"/>
      <c r="Z66" s="2194"/>
      <c r="AA66" s="2194"/>
      <c r="AB66" s="2194"/>
      <c r="AC66" s="2194"/>
      <c r="AD66" s="2195"/>
      <c r="AE66" s="1400"/>
      <c r="AF66" s="1400"/>
      <c r="AG66" s="1400"/>
      <c r="AH66" s="1400"/>
      <c r="AI66" s="1400"/>
      <c r="AJ66" s="1400"/>
      <c r="AK66" s="1400"/>
      <c r="AL66" s="1400"/>
      <c r="AM66" s="1400"/>
      <c r="AN66" s="1400"/>
    </row>
    <row r="67" spans="1:40" s="1399" customFormat="1" ht="15">
      <c r="A67" s="2446" t="s">
        <v>1028</v>
      </c>
      <c r="B67" s="2447">
        <f>1+E69</f>
        <v>1</v>
      </c>
      <c r="C67" s="2466"/>
      <c r="D67" s="2449"/>
      <c r="E67" s="2450"/>
      <c r="F67" s="2451"/>
      <c r="G67" s="2445"/>
      <c r="H67" s="2445"/>
      <c r="I67" s="2445"/>
      <c r="J67" s="1065"/>
      <c r="K67" s="1065"/>
      <c r="L67" s="1065"/>
      <c r="M67" s="1065"/>
      <c r="N67" s="1065"/>
      <c r="P67" s="2194"/>
      <c r="Q67" s="2194"/>
      <c r="R67" s="2195"/>
      <c r="S67" s="2195"/>
      <c r="T67" s="2195"/>
      <c r="U67" s="2195"/>
      <c r="V67" s="2195"/>
      <c r="W67" s="2194"/>
      <c r="X67" s="2194"/>
      <c r="Y67" s="2194"/>
      <c r="Z67" s="2194"/>
      <c r="AA67" s="2194"/>
      <c r="AB67" s="2194"/>
      <c r="AC67" s="2194"/>
      <c r="AD67" s="2195"/>
      <c r="AE67" s="1400"/>
      <c r="AF67" s="1400"/>
      <c r="AG67" s="1400"/>
      <c r="AH67" s="1400"/>
      <c r="AI67" s="1400"/>
      <c r="AJ67" s="1400"/>
      <c r="AK67" s="1400"/>
      <c r="AL67" s="1400"/>
      <c r="AM67" s="1400"/>
      <c r="AN67" s="1400"/>
    </row>
    <row r="68" spans="1:40" s="1399" customFormat="1" ht="24">
      <c r="A68" s="1066" t="s">
        <v>1005</v>
      </c>
      <c r="B68" s="2430"/>
      <c r="C68" s="2452" t="s">
        <v>1007</v>
      </c>
      <c r="D68" s="2453" t="s">
        <v>1008</v>
      </c>
      <c r="E68" s="2454" t="s">
        <v>1010</v>
      </c>
      <c r="F68" s="2455" t="s">
        <v>2251</v>
      </c>
      <c r="G68" s="2453" t="s">
        <v>1011</v>
      </c>
      <c r="H68" s="2436" t="s">
        <v>2418</v>
      </c>
      <c r="I68" s="2453" t="s">
        <v>1009</v>
      </c>
      <c r="J68" s="2456" t="s">
        <v>1012</v>
      </c>
      <c r="K68" s="2456" t="s">
        <v>1013</v>
      </c>
      <c r="L68" s="2456" t="s">
        <v>1014</v>
      </c>
      <c r="M68" s="2456" t="s">
        <v>1015</v>
      </c>
      <c r="N68" s="2456" t="s">
        <v>1016</v>
      </c>
      <c r="P68" s="2194"/>
      <c r="Q68" s="2194"/>
      <c r="R68" s="2195"/>
      <c r="S68" s="2195"/>
      <c r="T68" s="2195"/>
      <c r="U68" s="2195"/>
      <c r="V68" s="2195"/>
      <c r="W68" s="2194"/>
      <c r="X68" s="2194"/>
      <c r="Y68" s="2194"/>
      <c r="Z68" s="2194"/>
      <c r="AA68" s="2194"/>
      <c r="AB68" s="2194"/>
      <c r="AC68" s="2194"/>
      <c r="AD68" s="2195"/>
      <c r="AE68" s="1400"/>
      <c r="AF68" s="1400"/>
      <c r="AG68" s="1400"/>
      <c r="AH68" s="1400"/>
      <c r="AI68" s="1400"/>
      <c r="AJ68" s="1400"/>
      <c r="AK68" s="1400"/>
      <c r="AL68" s="1400"/>
      <c r="AM68" s="1400"/>
      <c r="AN68" s="1400"/>
    </row>
    <row r="69" spans="1:40" s="1399" customFormat="1" ht="60">
      <c r="A69" s="1066" t="s">
        <v>1029</v>
      </c>
      <c r="B69" s="2433" t="str">
        <f>估价对象房地状况!C15</f>
        <v>估价对象周边居住用地比例、居住小区规模和社区发展完善程度，周边有天恒摩墅等住宅项目，综合评价居住社区成熟度一般</v>
      </c>
      <c r="C69" s="1158"/>
      <c r="D69" s="2439">
        <f t="shared" ref="D69:D77" si="20">SUMIF($J$68:$N$68,C69,J69:N69)</f>
        <v>0</v>
      </c>
      <c r="E69" s="2458">
        <f>ROUND(SUM(D69:D77),4)</f>
        <v>0</v>
      </c>
      <c r="F69" s="2459" t="str">
        <f>IF(E2="住宅",SUMIF(L1:L12,G2,N1:N12),"——")</f>
        <v>——</v>
      </c>
      <c r="G69" s="2440"/>
      <c r="H69" s="2484" t="str">
        <f t="shared" ref="H69:H77" si="21">IFERROR(ROUNDDOWN($F$69*I69/2,4),"——")</f>
        <v>——</v>
      </c>
      <c r="I69" s="2457">
        <v>0.14000000000000001</v>
      </c>
      <c r="J69" s="2460">
        <f t="shared" ref="J69:J77" si="22">K69+$G69</f>
        <v>0</v>
      </c>
      <c r="K69" s="2460">
        <f t="shared" ref="K69:K77" si="23">$L69+$G69</f>
        <v>0</v>
      </c>
      <c r="L69" s="2460">
        <v>0</v>
      </c>
      <c r="M69" s="2460">
        <f t="shared" ref="M69:N77" si="24">L69-$G69</f>
        <v>0</v>
      </c>
      <c r="N69" s="2460">
        <f t="shared" si="24"/>
        <v>0</v>
      </c>
      <c r="P69" s="2194"/>
      <c r="Q69" s="2194"/>
      <c r="R69" s="2195"/>
      <c r="S69" s="2195"/>
      <c r="T69" s="2195"/>
      <c r="U69" s="2195"/>
      <c r="V69" s="2195"/>
      <c r="W69" s="2194"/>
      <c r="X69" s="2194"/>
      <c r="Y69" s="2194"/>
      <c r="Z69" s="2194"/>
      <c r="AA69" s="2194"/>
      <c r="AB69" s="2194"/>
      <c r="AC69" s="2194"/>
      <c r="AD69" s="2195"/>
      <c r="AE69" s="1400"/>
      <c r="AF69" s="1400"/>
      <c r="AG69" s="1400"/>
      <c r="AH69" s="1400"/>
      <c r="AI69" s="1400"/>
      <c r="AJ69" s="1400"/>
      <c r="AK69" s="1400"/>
      <c r="AL69" s="1400"/>
      <c r="AM69" s="1400"/>
      <c r="AN69" s="1400"/>
    </row>
    <row r="70" spans="1:40" s="1399" customFormat="1" ht="60">
      <c r="A70" s="1066" t="s">
        <v>1030</v>
      </c>
      <c r="B70" s="2430" t="str">
        <f>估价对象房地状况!C18</f>
        <v>估价对象周边道路状况、公共交通通达情况：有836、917、房12等多路公交车，停车便捷程度，综合评价交通便捷度一般</v>
      </c>
      <c r="C70" s="1158"/>
      <c r="D70" s="2439">
        <f t="shared" si="20"/>
        <v>0</v>
      </c>
      <c r="E70" s="2467"/>
      <c r="F70" s="2468"/>
      <c r="G70" s="2440"/>
      <c r="H70" s="2484" t="str">
        <f t="shared" si="21"/>
        <v>——</v>
      </c>
      <c r="I70" s="2457">
        <v>0.3</v>
      </c>
      <c r="J70" s="2460">
        <f t="shared" si="22"/>
        <v>0</v>
      </c>
      <c r="K70" s="2460">
        <f t="shared" si="23"/>
        <v>0</v>
      </c>
      <c r="L70" s="2460">
        <v>0</v>
      </c>
      <c r="M70" s="2460">
        <f t="shared" si="24"/>
        <v>0</v>
      </c>
      <c r="N70" s="2460">
        <f t="shared" si="24"/>
        <v>0</v>
      </c>
      <c r="P70" s="2194"/>
      <c r="Q70" s="2194"/>
      <c r="R70" s="2195"/>
      <c r="S70" s="2195"/>
      <c r="T70" s="2195"/>
      <c r="U70" s="2195"/>
      <c r="V70" s="2195"/>
      <c r="W70" s="2194"/>
      <c r="X70" s="2194"/>
      <c r="Y70" s="2194"/>
      <c r="Z70" s="2194"/>
      <c r="AA70" s="2194"/>
      <c r="AB70" s="2194"/>
      <c r="AC70" s="2194"/>
      <c r="AD70" s="2195"/>
      <c r="AE70" s="1400"/>
      <c r="AF70" s="1400"/>
      <c r="AG70" s="1400"/>
      <c r="AH70" s="1400"/>
      <c r="AI70" s="1400"/>
      <c r="AJ70" s="1400"/>
      <c r="AK70" s="1400"/>
      <c r="AL70" s="1400"/>
      <c r="AM70" s="1400"/>
      <c r="AN70" s="1400"/>
    </row>
    <row r="71" spans="1:40" s="1399" customFormat="1" ht="24">
      <c r="A71" s="1066" t="s">
        <v>1019</v>
      </c>
      <c r="B71" s="2430">
        <f>估价对象房地状况!C19</f>
        <v>0</v>
      </c>
      <c r="C71" s="1158"/>
      <c r="D71" s="2439">
        <f t="shared" si="20"/>
        <v>0</v>
      </c>
      <c r="E71" s="2467"/>
      <c r="F71" s="2468"/>
      <c r="G71" s="2440"/>
      <c r="H71" s="2484" t="str">
        <f t="shared" si="21"/>
        <v>——</v>
      </c>
      <c r="I71" s="2457">
        <v>0.08</v>
      </c>
      <c r="J71" s="2460">
        <f t="shared" si="22"/>
        <v>0</v>
      </c>
      <c r="K71" s="2460">
        <f t="shared" si="23"/>
        <v>0</v>
      </c>
      <c r="L71" s="2460">
        <v>0</v>
      </c>
      <c r="M71" s="2460">
        <f t="shared" si="24"/>
        <v>0</v>
      </c>
      <c r="N71" s="2460">
        <f t="shared" si="24"/>
        <v>0</v>
      </c>
      <c r="P71" s="2194"/>
      <c r="Q71" s="2194"/>
      <c r="R71" s="2195"/>
      <c r="S71" s="2195"/>
      <c r="T71" s="2195"/>
      <c r="U71" s="2195"/>
      <c r="V71" s="2195"/>
      <c r="W71" s="2194"/>
      <c r="X71" s="2194"/>
      <c r="Y71" s="2194"/>
      <c r="Z71" s="2194"/>
      <c r="AA71" s="2194"/>
      <c r="AB71" s="2194"/>
      <c r="AC71" s="2194"/>
      <c r="AD71" s="2195"/>
      <c r="AE71" s="1400"/>
      <c r="AF71" s="1400"/>
      <c r="AG71" s="1400"/>
      <c r="AH71" s="1400"/>
      <c r="AI71" s="1400"/>
      <c r="AJ71" s="1400"/>
      <c r="AK71" s="1400"/>
      <c r="AL71" s="1400"/>
      <c r="AM71" s="1400"/>
      <c r="AN71" s="1400"/>
    </row>
    <row r="72" spans="1:40" s="1399" customFormat="1" ht="14.25">
      <c r="A72" s="1066" t="s">
        <v>1031</v>
      </c>
      <c r="B72" s="2430">
        <f>估价对象房地状况!C24</f>
        <v>0</v>
      </c>
      <c r="C72" s="1158"/>
      <c r="D72" s="2439">
        <f t="shared" si="20"/>
        <v>0</v>
      </c>
      <c r="E72" s="2467"/>
      <c r="F72" s="2468"/>
      <c r="G72" s="2440"/>
      <c r="H72" s="2484" t="str">
        <f t="shared" si="21"/>
        <v>——</v>
      </c>
      <c r="I72" s="2457">
        <v>0.04</v>
      </c>
      <c r="J72" s="2460">
        <f t="shared" si="22"/>
        <v>0</v>
      </c>
      <c r="K72" s="2460">
        <f t="shared" si="23"/>
        <v>0</v>
      </c>
      <c r="L72" s="2460">
        <v>0</v>
      </c>
      <c r="M72" s="2460">
        <f t="shared" si="24"/>
        <v>0</v>
      </c>
      <c r="N72" s="2460">
        <f t="shared" si="24"/>
        <v>0</v>
      </c>
      <c r="P72" s="2194"/>
      <c r="Q72" s="2194"/>
      <c r="R72" s="2195"/>
      <c r="S72" s="2195"/>
      <c r="T72" s="2195"/>
      <c r="U72" s="2195"/>
      <c r="V72" s="2195"/>
      <c r="W72" s="2194"/>
      <c r="X72" s="2194"/>
      <c r="Y72" s="2194"/>
      <c r="Z72" s="2194"/>
      <c r="AA72" s="2194"/>
      <c r="AB72" s="2194"/>
      <c r="AC72" s="2194"/>
      <c r="AD72" s="2195"/>
      <c r="AE72" s="1400"/>
      <c r="AF72" s="1400"/>
      <c r="AG72" s="1400"/>
      <c r="AH72" s="1400"/>
      <c r="AI72" s="1400"/>
      <c r="AJ72" s="1400"/>
      <c r="AK72" s="1400"/>
      <c r="AL72" s="1400"/>
      <c r="AM72" s="1400"/>
      <c r="AN72" s="1400"/>
    </row>
    <row r="73" spans="1:40" s="1399" customFormat="1" ht="24">
      <c r="A73" s="1066" t="s">
        <v>1023</v>
      </c>
      <c r="B73" s="2431" t="str">
        <f>估价对象房地状况!C21</f>
        <v>估价对象所在区域公共配套设施齐备情况</v>
      </c>
      <c r="C73" s="1158"/>
      <c r="D73" s="2439">
        <f t="shared" si="20"/>
        <v>0</v>
      </c>
      <c r="E73" s="2467"/>
      <c r="F73" s="2468"/>
      <c r="G73" s="2440"/>
      <c r="H73" s="2484" t="str">
        <f t="shared" si="21"/>
        <v>——</v>
      </c>
      <c r="I73" s="2457">
        <v>0.08</v>
      </c>
      <c r="J73" s="2460">
        <f t="shared" si="22"/>
        <v>0</v>
      </c>
      <c r="K73" s="2460">
        <f t="shared" si="23"/>
        <v>0</v>
      </c>
      <c r="L73" s="2460">
        <v>0</v>
      </c>
      <c r="M73" s="2460">
        <f t="shared" si="24"/>
        <v>0</v>
      </c>
      <c r="N73" s="2460">
        <f t="shared" si="24"/>
        <v>0</v>
      </c>
      <c r="P73" s="2194"/>
      <c r="Q73" s="2194"/>
      <c r="R73" s="2195"/>
      <c r="S73" s="2195"/>
      <c r="T73" s="2195"/>
      <c r="U73" s="2195"/>
      <c r="V73" s="2195"/>
      <c r="W73" s="2194"/>
      <c r="X73" s="2194"/>
      <c r="Y73" s="2194"/>
      <c r="Z73" s="2194"/>
      <c r="AA73" s="2194"/>
      <c r="AB73" s="2194"/>
      <c r="AC73" s="2194"/>
      <c r="AD73" s="2195"/>
      <c r="AE73" s="1400"/>
      <c r="AF73" s="1400"/>
      <c r="AG73" s="1400"/>
      <c r="AH73" s="1400"/>
      <c r="AI73" s="1400"/>
      <c r="AJ73" s="1400"/>
      <c r="AK73" s="1400"/>
      <c r="AL73" s="1400"/>
      <c r="AM73" s="1400"/>
      <c r="AN73" s="1400"/>
    </row>
    <row r="74" spans="1:40" s="1399" customFormat="1" ht="24">
      <c r="A74" s="1066" t="s">
        <v>1024</v>
      </c>
      <c r="B74" s="2431" t="str">
        <f>估价对象房地状况!C22</f>
        <v>估价对象所在区域基础设施水平</v>
      </c>
      <c r="C74" s="1158"/>
      <c r="D74" s="2439">
        <f t="shared" si="20"/>
        <v>0</v>
      </c>
      <c r="E74" s="2467"/>
      <c r="F74" s="2468"/>
      <c r="G74" s="2440"/>
      <c r="H74" s="2484" t="str">
        <f t="shared" si="21"/>
        <v>——</v>
      </c>
      <c r="I74" s="2457">
        <v>0.12</v>
      </c>
      <c r="J74" s="2460">
        <f t="shared" si="22"/>
        <v>0</v>
      </c>
      <c r="K74" s="2460">
        <f t="shared" si="23"/>
        <v>0</v>
      </c>
      <c r="L74" s="2460">
        <v>0</v>
      </c>
      <c r="M74" s="2460">
        <f t="shared" si="24"/>
        <v>0</v>
      </c>
      <c r="N74" s="2460">
        <f t="shared" si="24"/>
        <v>0</v>
      </c>
      <c r="P74" s="2194"/>
      <c r="Q74" s="2194"/>
      <c r="R74" s="2195"/>
      <c r="S74" s="2195"/>
      <c r="T74" s="2195"/>
      <c r="U74" s="2195"/>
      <c r="V74" s="2195"/>
      <c r="W74" s="2194"/>
      <c r="X74" s="2194"/>
      <c r="Y74" s="2194"/>
      <c r="Z74" s="2194"/>
      <c r="AA74" s="2194"/>
      <c r="AB74" s="2194"/>
      <c r="AC74" s="2194"/>
      <c r="AD74" s="2195"/>
      <c r="AE74" s="1400"/>
      <c r="AF74" s="1400"/>
      <c r="AG74" s="1400"/>
      <c r="AH74" s="1400"/>
      <c r="AI74" s="1400"/>
      <c r="AJ74" s="1400"/>
      <c r="AK74" s="1400"/>
      <c r="AL74" s="1400"/>
      <c r="AM74" s="1400"/>
      <c r="AN74" s="1400"/>
    </row>
    <row r="75" spans="1:40" s="1399" customFormat="1" ht="24">
      <c r="A75" s="1066" t="s">
        <v>1022</v>
      </c>
      <c r="B75" s="3115" t="s">
        <v>2937</v>
      </c>
      <c r="C75" s="1158"/>
      <c r="D75" s="2439">
        <f t="shared" si="20"/>
        <v>0</v>
      </c>
      <c r="E75" s="2467"/>
      <c r="F75" s="2468"/>
      <c r="G75" s="2440"/>
      <c r="H75" s="2484" t="str">
        <f t="shared" si="21"/>
        <v>——</v>
      </c>
      <c r="I75" s="2457">
        <v>0.05</v>
      </c>
      <c r="J75" s="2460">
        <f t="shared" si="22"/>
        <v>0</v>
      </c>
      <c r="K75" s="2460">
        <f t="shared" si="23"/>
        <v>0</v>
      </c>
      <c r="L75" s="2460">
        <v>0</v>
      </c>
      <c r="M75" s="2460">
        <f t="shared" si="24"/>
        <v>0</v>
      </c>
      <c r="N75" s="2460">
        <f t="shared" si="24"/>
        <v>0</v>
      </c>
      <c r="P75" s="2194"/>
      <c r="Q75" s="2194"/>
      <c r="R75" s="2195"/>
      <c r="S75" s="2195"/>
      <c r="T75" s="2195"/>
      <c r="U75" s="2195"/>
      <c r="V75" s="2195"/>
      <c r="W75" s="2194"/>
      <c r="X75" s="2194"/>
      <c r="Y75" s="2194"/>
      <c r="Z75" s="2194"/>
      <c r="AA75" s="2194"/>
      <c r="AB75" s="2194"/>
      <c r="AC75" s="2194"/>
      <c r="AD75" s="2195"/>
      <c r="AE75" s="1400"/>
      <c r="AF75" s="1400"/>
      <c r="AG75" s="1400"/>
      <c r="AH75" s="1400"/>
      <c r="AI75" s="1400"/>
      <c r="AJ75" s="1400"/>
      <c r="AK75" s="1400"/>
      <c r="AL75" s="1400"/>
      <c r="AM75" s="1400"/>
      <c r="AN75" s="1400"/>
    </row>
    <row r="76" spans="1:40" ht="60">
      <c r="A76" s="1066" t="s">
        <v>1025</v>
      </c>
      <c r="B76" s="2433" t="str">
        <f>估价对象房地状况!C20</f>
        <v>周边2公里区域自然环境：牛口峪公园、周口店人民公园；人文环境：北京猿人遗址；综合评价环境状况较好</v>
      </c>
      <c r="C76" s="1158"/>
      <c r="D76" s="2439">
        <f t="shared" si="20"/>
        <v>0</v>
      </c>
      <c r="E76" s="2467"/>
      <c r="F76" s="2468"/>
      <c r="G76" s="2440"/>
      <c r="H76" s="2484" t="str">
        <f t="shared" si="21"/>
        <v>——</v>
      </c>
      <c r="I76" s="2457">
        <v>0.15</v>
      </c>
      <c r="J76" s="2460">
        <f t="shared" si="22"/>
        <v>0</v>
      </c>
      <c r="K76" s="2460">
        <f t="shared" si="23"/>
        <v>0</v>
      </c>
      <c r="L76" s="2460">
        <v>0</v>
      </c>
      <c r="M76" s="2460">
        <f t="shared" si="24"/>
        <v>0</v>
      </c>
      <c r="N76" s="2460">
        <f t="shared" si="24"/>
        <v>0</v>
      </c>
      <c r="P76" s="2197"/>
      <c r="Q76" s="2197"/>
      <c r="R76" s="2198"/>
      <c r="S76" s="2198"/>
      <c r="T76" s="2198"/>
      <c r="U76" s="2198"/>
      <c r="V76" s="2198"/>
      <c r="W76" s="2197"/>
      <c r="X76" s="2197"/>
      <c r="Y76" s="2197"/>
      <c r="Z76" s="2197"/>
      <c r="AA76" s="2197"/>
      <c r="AB76" s="2197"/>
      <c r="AC76" s="2197"/>
      <c r="AD76" s="2198"/>
      <c r="AJ76" s="1400"/>
      <c r="AN76" s="1401"/>
    </row>
    <row r="77" spans="1:40" ht="24.75" thickBot="1">
      <c r="A77" s="2463" t="s">
        <v>1032</v>
      </c>
      <c r="B77" s="1848"/>
      <c r="C77" s="1158"/>
      <c r="D77" s="2439">
        <f t="shared" si="20"/>
        <v>0</v>
      </c>
      <c r="E77" s="2469"/>
      <c r="F77" s="2468"/>
      <c r="G77" s="2440"/>
      <c r="H77" s="2484" t="str">
        <f t="shared" si="21"/>
        <v>——</v>
      </c>
      <c r="I77" s="2464">
        <v>0.04</v>
      </c>
      <c r="J77" s="2460">
        <f t="shared" si="22"/>
        <v>0</v>
      </c>
      <c r="K77" s="2460">
        <f t="shared" si="23"/>
        <v>0</v>
      </c>
      <c r="L77" s="2460">
        <v>0</v>
      </c>
      <c r="M77" s="2460">
        <f t="shared" si="24"/>
        <v>0</v>
      </c>
      <c r="N77" s="2460">
        <f t="shared" si="24"/>
        <v>0</v>
      </c>
      <c r="AC77" s="1402"/>
      <c r="AD77" s="1401"/>
      <c r="AJ77" s="1400"/>
      <c r="AN77" s="1401"/>
    </row>
    <row r="78" spans="1:40" ht="15">
      <c r="A78" s="2446" t="s">
        <v>1033</v>
      </c>
      <c r="B78" s="2447">
        <f>1+E80</f>
        <v>1</v>
      </c>
      <c r="C78" s="2466"/>
      <c r="D78" s="2449"/>
      <c r="E78" s="2450"/>
      <c r="F78" s="2451"/>
      <c r="G78" s="2445"/>
      <c r="H78" s="2445"/>
      <c r="I78" s="2445"/>
      <c r="J78" s="1065"/>
      <c r="K78" s="1065"/>
      <c r="L78" s="1065"/>
      <c r="M78" s="1065"/>
      <c r="N78" s="1065"/>
      <c r="AC78" s="1402"/>
      <c r="AD78" s="1401"/>
      <c r="AJ78" s="1400"/>
      <c r="AN78" s="1401"/>
    </row>
    <row r="79" spans="1:40" ht="24">
      <c r="A79" s="1066" t="s">
        <v>1005</v>
      </c>
      <c r="B79" s="2430"/>
      <c r="C79" s="2452" t="s">
        <v>1007</v>
      </c>
      <c r="D79" s="2453" t="s">
        <v>1008</v>
      </c>
      <c r="E79" s="2454" t="s">
        <v>1010</v>
      </c>
      <c r="F79" s="2455" t="s">
        <v>2252</v>
      </c>
      <c r="G79" s="2453" t="s">
        <v>1011</v>
      </c>
      <c r="H79" s="2436" t="s">
        <v>2418</v>
      </c>
      <c r="I79" s="2453" t="s">
        <v>1009</v>
      </c>
      <c r="J79" s="2456" t="s">
        <v>1012</v>
      </c>
      <c r="K79" s="2456" t="s">
        <v>1013</v>
      </c>
      <c r="L79" s="2456" t="s">
        <v>1014</v>
      </c>
      <c r="M79" s="2456" t="s">
        <v>1015</v>
      </c>
      <c r="N79" s="2456" t="s">
        <v>1016</v>
      </c>
      <c r="AC79" s="1402"/>
      <c r="AD79" s="1401"/>
      <c r="AJ79" s="1400"/>
      <c r="AN79" s="1401"/>
    </row>
    <row r="80" spans="1:40" ht="36">
      <c r="A80" s="1066" t="s">
        <v>1034</v>
      </c>
      <c r="B80" s="2430" t="str">
        <f>估价对象房地状况!G15</f>
        <v>估价对象位于XX开发区，园区建设成熟度XX，产业集聚程度XX</v>
      </c>
      <c r="C80" s="1049"/>
      <c r="D80" s="2439">
        <f t="shared" ref="D80:D87" si="25">SUMIF($J$79:$N$79,C80,J80:N80)</f>
        <v>0</v>
      </c>
      <c r="E80" s="2458">
        <f>ROUND(SUM(D80:D87),4)</f>
        <v>0</v>
      </c>
      <c r="F80" s="2459" t="str">
        <f>IF(E2="工业",SUMIF(L1:L12,G2,N1:N12),"——")</f>
        <v>——</v>
      </c>
      <c r="G80" s="2437"/>
      <c r="H80" s="2483" t="str">
        <f t="shared" ref="H80:H87" si="26">IFERROR(ROUNDDOWN($F$80*I80/2,4),"——")</f>
        <v>——</v>
      </c>
      <c r="I80" s="2457">
        <v>0.26</v>
      </c>
      <c r="J80" s="2460">
        <f t="shared" ref="J80:J87" si="27">K80+$G80</f>
        <v>0</v>
      </c>
      <c r="K80" s="2460">
        <f t="shared" ref="K80:K87" si="28">$L80+$G80</f>
        <v>0</v>
      </c>
      <c r="L80" s="2460">
        <v>0</v>
      </c>
      <c r="M80" s="2460">
        <f t="shared" ref="M80:N87" si="29">L80-$G80</f>
        <v>0</v>
      </c>
      <c r="N80" s="2460">
        <f t="shared" si="29"/>
        <v>0</v>
      </c>
      <c r="AC80" s="1402"/>
      <c r="AD80" s="1401"/>
      <c r="AJ80" s="1400"/>
      <c r="AN80" s="1401"/>
    </row>
    <row r="81" spans="1:40" ht="48">
      <c r="A81" s="1066" t="s">
        <v>1030</v>
      </c>
      <c r="B81" s="2430" t="str">
        <f>估价对象房地状况!G16</f>
        <v>估价对象周边道路状况、公共交通通达情况、停车便捷程度，综合评价交通便捷度较好</v>
      </c>
      <c r="C81" s="1049"/>
      <c r="D81" s="2439">
        <f t="shared" si="25"/>
        <v>0</v>
      </c>
      <c r="E81" s="2467"/>
      <c r="F81" s="2468"/>
      <c r="G81" s="2437"/>
      <c r="H81" s="2483" t="str">
        <f t="shared" si="26"/>
        <v>——</v>
      </c>
      <c r="I81" s="2457">
        <v>0.33</v>
      </c>
      <c r="J81" s="2460">
        <f t="shared" si="27"/>
        <v>0</v>
      </c>
      <c r="K81" s="2460">
        <f t="shared" si="28"/>
        <v>0</v>
      </c>
      <c r="L81" s="2460">
        <v>0</v>
      </c>
      <c r="M81" s="2460">
        <f t="shared" si="29"/>
        <v>0</v>
      </c>
      <c r="N81" s="2460">
        <f t="shared" si="29"/>
        <v>0</v>
      </c>
      <c r="AC81" s="1402"/>
      <c r="AD81" s="1401"/>
      <c r="AJ81" s="1400"/>
      <c r="AN81" s="1401"/>
    </row>
    <row r="82" spans="1:40" ht="24">
      <c r="A82" s="1066" t="s">
        <v>1019</v>
      </c>
      <c r="B82" s="2430">
        <f>估价对象房地状况!G17</f>
        <v>0</v>
      </c>
      <c r="C82" s="1049"/>
      <c r="D82" s="2439">
        <f t="shared" si="25"/>
        <v>0</v>
      </c>
      <c r="E82" s="2467"/>
      <c r="F82" s="2468"/>
      <c r="G82" s="2437"/>
      <c r="H82" s="2483" t="str">
        <f t="shared" si="26"/>
        <v>——</v>
      </c>
      <c r="I82" s="2457">
        <v>0.05</v>
      </c>
      <c r="J82" s="2460">
        <f t="shared" si="27"/>
        <v>0</v>
      </c>
      <c r="K82" s="2460">
        <f t="shared" si="28"/>
        <v>0</v>
      </c>
      <c r="L82" s="2460">
        <v>0</v>
      </c>
      <c r="M82" s="2460">
        <f t="shared" si="29"/>
        <v>0</v>
      </c>
      <c r="N82" s="2460">
        <f t="shared" si="29"/>
        <v>0</v>
      </c>
      <c r="AC82" s="1402"/>
      <c r="AD82" s="1401"/>
      <c r="AJ82" s="1400"/>
      <c r="AN82" s="1401"/>
    </row>
    <row r="83" spans="1:40" ht="14.25">
      <c r="A83" s="1066" t="s">
        <v>1031</v>
      </c>
      <c r="B83" s="2430">
        <f>估价对象房地状况!G22</f>
        <v>0</v>
      </c>
      <c r="C83" s="1049"/>
      <c r="D83" s="2439">
        <f t="shared" si="25"/>
        <v>0</v>
      </c>
      <c r="E83" s="2467"/>
      <c r="F83" s="2468"/>
      <c r="G83" s="2437"/>
      <c r="H83" s="2483" t="str">
        <f t="shared" si="26"/>
        <v>——</v>
      </c>
      <c r="I83" s="2457">
        <v>0.04</v>
      </c>
      <c r="J83" s="2460">
        <f t="shared" si="27"/>
        <v>0</v>
      </c>
      <c r="K83" s="2460">
        <f t="shared" si="28"/>
        <v>0</v>
      </c>
      <c r="L83" s="2460">
        <v>0</v>
      </c>
      <c r="M83" s="2460">
        <f t="shared" si="29"/>
        <v>0</v>
      </c>
      <c r="N83" s="2460">
        <f t="shared" si="29"/>
        <v>0</v>
      </c>
      <c r="AC83" s="1402"/>
      <c r="AD83" s="1401"/>
      <c r="AJ83" s="1400"/>
      <c r="AN83" s="1401"/>
    </row>
    <row r="84" spans="1:40" ht="24">
      <c r="A84" s="1066" t="s">
        <v>1023</v>
      </c>
      <c r="B84" s="2431" t="str">
        <f>估价对象房地状况!G19</f>
        <v>估价对象所在区域公共配套设施齐备情况</v>
      </c>
      <c r="C84" s="1049"/>
      <c r="D84" s="2439">
        <f t="shared" si="25"/>
        <v>0</v>
      </c>
      <c r="E84" s="2467"/>
      <c r="F84" s="2468"/>
      <c r="G84" s="2437"/>
      <c r="H84" s="2483" t="str">
        <f t="shared" si="26"/>
        <v>——</v>
      </c>
      <c r="I84" s="2457">
        <v>0.06</v>
      </c>
      <c r="J84" s="2460">
        <f t="shared" si="27"/>
        <v>0</v>
      </c>
      <c r="K84" s="2460">
        <f t="shared" si="28"/>
        <v>0</v>
      </c>
      <c r="L84" s="2460">
        <v>0</v>
      </c>
      <c r="M84" s="2460">
        <f t="shared" si="29"/>
        <v>0</v>
      </c>
      <c r="N84" s="2460">
        <f t="shared" si="29"/>
        <v>0</v>
      </c>
      <c r="AC84" s="1402"/>
      <c r="AD84" s="1401"/>
      <c r="AJ84" s="1400"/>
      <c r="AN84" s="1401"/>
    </row>
    <row r="85" spans="1:40" ht="24">
      <c r="A85" s="1066" t="s">
        <v>1024</v>
      </c>
      <c r="B85" s="2431" t="str">
        <f>估价对象房地状况!G20</f>
        <v>估价对象所在区域基础设施水平</v>
      </c>
      <c r="C85" s="1049"/>
      <c r="D85" s="2439">
        <f t="shared" si="25"/>
        <v>0</v>
      </c>
      <c r="E85" s="2467"/>
      <c r="F85" s="2468"/>
      <c r="G85" s="2437"/>
      <c r="H85" s="2483" t="str">
        <f t="shared" si="26"/>
        <v>——</v>
      </c>
      <c r="I85" s="2457">
        <v>0.15</v>
      </c>
      <c r="J85" s="2460">
        <f t="shared" si="27"/>
        <v>0</v>
      </c>
      <c r="K85" s="2460">
        <f t="shared" si="28"/>
        <v>0</v>
      </c>
      <c r="L85" s="2460">
        <v>0</v>
      </c>
      <c r="M85" s="2460">
        <f t="shared" si="29"/>
        <v>0</v>
      </c>
      <c r="N85" s="2460">
        <f t="shared" si="29"/>
        <v>0</v>
      </c>
      <c r="AC85" s="1402"/>
      <c r="AD85" s="1401"/>
      <c r="AJ85" s="1400"/>
      <c r="AN85" s="1401"/>
    </row>
    <row r="86" spans="1:40" ht="24">
      <c r="A86" s="1066" t="s">
        <v>1022</v>
      </c>
      <c r="B86" s="3115" t="s">
        <v>2937</v>
      </c>
      <c r="C86" s="1049"/>
      <c r="D86" s="2439">
        <f t="shared" si="25"/>
        <v>0</v>
      </c>
      <c r="E86" s="2467"/>
      <c r="F86" s="2468"/>
      <c r="G86" s="2437"/>
      <c r="H86" s="2483" t="str">
        <f t="shared" si="26"/>
        <v>——</v>
      </c>
      <c r="I86" s="2457">
        <v>0.05</v>
      </c>
      <c r="J86" s="2460">
        <f t="shared" si="27"/>
        <v>0</v>
      </c>
      <c r="K86" s="2460">
        <f t="shared" si="28"/>
        <v>0</v>
      </c>
      <c r="L86" s="2460">
        <v>0</v>
      </c>
      <c r="M86" s="2460">
        <f t="shared" si="29"/>
        <v>0</v>
      </c>
      <c r="N86" s="2460">
        <f t="shared" si="29"/>
        <v>0</v>
      </c>
      <c r="AC86" s="1402"/>
      <c r="AD86" s="1401"/>
      <c r="AJ86" s="1400"/>
      <c r="AN86" s="1401"/>
    </row>
    <row r="87" spans="1:40" ht="36.75" thickBot="1">
      <c r="A87" s="2463" t="s">
        <v>1035</v>
      </c>
      <c r="B87" s="2432" t="str">
        <f>估价对象房地状况!G18</f>
        <v>该园区内是否有污染型企业，绿化情况，卫生条件，整体环境状况判断</v>
      </c>
      <c r="C87" s="1049"/>
      <c r="D87" s="2439">
        <f t="shared" si="25"/>
        <v>0</v>
      </c>
      <c r="E87" s="2469"/>
      <c r="F87" s="2468"/>
      <c r="G87" s="2437"/>
      <c r="H87" s="2483" t="str">
        <f t="shared" si="26"/>
        <v>——</v>
      </c>
      <c r="I87" s="2464">
        <v>0.06</v>
      </c>
      <c r="J87" s="2460">
        <f t="shared" si="27"/>
        <v>0</v>
      </c>
      <c r="K87" s="2460">
        <f t="shared" si="28"/>
        <v>0</v>
      </c>
      <c r="L87" s="2460">
        <v>0</v>
      </c>
      <c r="M87" s="2460">
        <f t="shared" si="29"/>
        <v>0</v>
      </c>
      <c r="N87" s="2460">
        <f t="shared" si="29"/>
        <v>0</v>
      </c>
      <c r="AC87" s="1402"/>
      <c r="AD87" s="1401"/>
      <c r="AJ87" s="1400"/>
      <c r="AN87" s="1401"/>
    </row>
    <row r="90" spans="1:40">
      <c r="A90" s="3488" t="s">
        <v>1630</v>
      </c>
      <c r="B90" s="3488"/>
      <c r="C90" s="3488"/>
      <c r="D90" s="3488"/>
      <c r="E90" s="3488"/>
      <c r="F90" s="3488"/>
      <c r="G90" s="3488"/>
      <c r="H90" s="3488"/>
      <c r="I90" s="3488"/>
      <c r="J90" s="3488"/>
      <c r="K90" s="2472"/>
      <c r="L90" s="2472"/>
      <c r="M90" s="2472"/>
      <c r="N90" s="2472"/>
    </row>
    <row r="91" spans="1:40">
      <c r="A91" s="3489" t="s">
        <v>1440</v>
      </c>
      <c r="B91" s="3489" t="s">
        <v>1631</v>
      </c>
      <c r="C91" s="1139" t="s">
        <v>1632</v>
      </c>
      <c r="D91" s="1140"/>
      <c r="E91" s="1140"/>
      <c r="F91" s="1140"/>
      <c r="G91" s="1140"/>
      <c r="H91" s="1140"/>
      <c r="I91" s="1140"/>
      <c r="J91" s="1141"/>
      <c r="K91" s="1133"/>
      <c r="L91" s="1133"/>
      <c r="M91" s="1133"/>
      <c r="N91" s="1133"/>
    </row>
    <row r="92" spans="1:40">
      <c r="A92" s="3489"/>
      <c r="B92" s="3489"/>
      <c r="C92" s="2471" t="s">
        <v>903</v>
      </c>
      <c r="D92" s="2471" t="s">
        <v>881</v>
      </c>
      <c r="E92" s="2471" t="s">
        <v>882</v>
      </c>
      <c r="F92" s="2471" t="s">
        <v>906</v>
      </c>
      <c r="G92" s="2471" t="s">
        <v>884</v>
      </c>
      <c r="H92" s="2471" t="s">
        <v>885</v>
      </c>
      <c r="I92" s="2471" t="s">
        <v>886</v>
      </c>
      <c r="J92" s="2471" t="s">
        <v>887</v>
      </c>
      <c r="K92" s="2471" t="s">
        <v>911</v>
      </c>
      <c r="L92" s="2471" t="s">
        <v>889</v>
      </c>
      <c r="M92" s="2471" t="s">
        <v>890</v>
      </c>
      <c r="N92" s="2471" t="s">
        <v>914</v>
      </c>
    </row>
    <row r="93" spans="1:40">
      <c r="A93" s="3478" t="s">
        <v>2764</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79"/>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79"/>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79"/>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79"/>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79"/>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79"/>
      <c r="B99" s="1142" t="s">
        <v>1633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80"/>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78" t="s">
        <v>1634</v>
      </c>
      <c r="B101" s="1146" t="s">
        <v>902</v>
      </c>
      <c r="C101" s="1147">
        <f>$G$3</f>
        <v>1.5</v>
      </c>
      <c r="D101" s="1147">
        <f t="shared" ref="D101:N101" si="31">$G$3</f>
        <v>1.5</v>
      </c>
      <c r="E101" s="1147">
        <f t="shared" si="31"/>
        <v>1.5</v>
      </c>
      <c r="F101" s="1147">
        <f t="shared" si="31"/>
        <v>1.5</v>
      </c>
      <c r="G101" s="1147">
        <f t="shared" si="31"/>
        <v>1.5</v>
      </c>
      <c r="H101" s="1147">
        <f t="shared" si="31"/>
        <v>1.5</v>
      </c>
      <c r="I101" s="1147">
        <f t="shared" si="31"/>
        <v>1.5</v>
      </c>
      <c r="J101" s="1147">
        <f t="shared" si="31"/>
        <v>1.5</v>
      </c>
      <c r="K101" s="1147">
        <f t="shared" si="31"/>
        <v>1.5</v>
      </c>
      <c r="L101" s="1147">
        <f t="shared" si="31"/>
        <v>1.5</v>
      </c>
      <c r="M101" s="1147">
        <f t="shared" si="31"/>
        <v>1.5</v>
      </c>
      <c r="N101" s="1147">
        <f t="shared" si="31"/>
        <v>1.5</v>
      </c>
    </row>
    <row r="102" spans="1:14">
      <c r="A102" s="3479"/>
      <c r="B102" s="1142">
        <v>1</v>
      </c>
      <c r="C102" s="1143">
        <f>1.9362/C101</f>
        <v>1.2907999999999999</v>
      </c>
      <c r="D102" s="1143">
        <f>1.9362/D101</f>
        <v>1.2907999999999999</v>
      </c>
      <c r="E102" s="1143">
        <f>1.8629/E101</f>
        <v>1.2419333333333333</v>
      </c>
      <c r="F102" s="1143">
        <f>1.8629/F101</f>
        <v>1.2419333333333333</v>
      </c>
      <c r="G102" s="1143">
        <f>1.8629/G101</f>
        <v>1.2419333333333333</v>
      </c>
      <c r="H102" s="1143">
        <f>1.8629/H101</f>
        <v>1.2419333333333333</v>
      </c>
      <c r="I102" s="1143">
        <f>1.8629/I101</f>
        <v>1.2419333333333333</v>
      </c>
      <c r="J102" s="1143">
        <f>1.942/J101</f>
        <v>1.2946666666666666</v>
      </c>
      <c r="K102" s="1143">
        <f>1.942/K101</f>
        <v>1.2946666666666666</v>
      </c>
      <c r="L102" s="1143">
        <f>1.942/L101</f>
        <v>1.2946666666666666</v>
      </c>
      <c r="M102" s="1143">
        <f>1.942/M101</f>
        <v>1.2946666666666666</v>
      </c>
      <c r="N102" s="1143">
        <f>1.942/N101</f>
        <v>1.2946666666666666</v>
      </c>
    </row>
    <row r="103" spans="1:14">
      <c r="A103" s="3479"/>
      <c r="B103" s="1142">
        <v>2</v>
      </c>
      <c r="C103" s="1143">
        <f>1.4198/C101</f>
        <v>0.94653333333333334</v>
      </c>
      <c r="D103" s="1143">
        <f>1.4198/D101</f>
        <v>0.94653333333333334</v>
      </c>
      <c r="E103" s="1143">
        <f>1.3372/E101</f>
        <v>0.89146666666666663</v>
      </c>
      <c r="F103" s="1143">
        <f>1.3372/F101</f>
        <v>0.89146666666666663</v>
      </c>
      <c r="G103" s="1143">
        <f>1.3372/G101</f>
        <v>0.89146666666666663</v>
      </c>
      <c r="H103" s="1143">
        <f>1.3372/H101</f>
        <v>0.89146666666666663</v>
      </c>
      <c r="I103" s="1143">
        <f>1.3372/I101</f>
        <v>0.89146666666666663</v>
      </c>
      <c r="J103" s="1143">
        <f>1.2799/J101</f>
        <v>0.85326666666666673</v>
      </c>
      <c r="K103" s="1143">
        <f>1.2799/K101</f>
        <v>0.85326666666666673</v>
      </c>
      <c r="L103" s="1143">
        <f>1.2799/L101</f>
        <v>0.85326666666666673</v>
      </c>
      <c r="M103" s="1143">
        <f>1.2799/M101</f>
        <v>0.85326666666666673</v>
      </c>
      <c r="N103" s="1143">
        <f>1.2799/N101</f>
        <v>0.85326666666666673</v>
      </c>
    </row>
    <row r="104" spans="1:14">
      <c r="A104" s="3479"/>
      <c r="B104" s="1142">
        <v>3</v>
      </c>
      <c r="C104" s="1143">
        <f>1.1594/C101</f>
        <v>0.77293333333333336</v>
      </c>
      <c r="D104" s="1143">
        <f>1.1594/D101</f>
        <v>0.77293333333333336</v>
      </c>
      <c r="E104" s="1143">
        <f>1.0788/E101</f>
        <v>0.71919999999999995</v>
      </c>
      <c r="F104" s="1143">
        <f>1.0788/F101</f>
        <v>0.71919999999999995</v>
      </c>
      <c r="G104" s="1143">
        <f>1.0788/G101</f>
        <v>0.71919999999999995</v>
      </c>
      <c r="H104" s="1143">
        <f>1.0788/H101</f>
        <v>0.71919999999999995</v>
      </c>
      <c r="I104" s="1143">
        <f>1.0788/I101</f>
        <v>0.71919999999999995</v>
      </c>
      <c r="J104" s="1143">
        <f>1.0072/J101</f>
        <v>0.67146666666666677</v>
      </c>
      <c r="K104" s="1143">
        <f>1.0072/K101</f>
        <v>0.67146666666666677</v>
      </c>
      <c r="L104" s="1143">
        <f>1.0072/L101</f>
        <v>0.67146666666666677</v>
      </c>
      <c r="M104" s="1143">
        <f>1.0072/M101</f>
        <v>0.67146666666666677</v>
      </c>
      <c r="N104" s="1143">
        <f>1.0072/N101</f>
        <v>0.67146666666666677</v>
      </c>
    </row>
    <row r="105" spans="1:14">
      <c r="A105" s="3479"/>
      <c r="B105" s="1142">
        <v>4</v>
      </c>
      <c r="C105" s="1143">
        <f>0.9622/C101</f>
        <v>0.64146666666666674</v>
      </c>
      <c r="D105" s="1143">
        <f>0.9622/D101</f>
        <v>0.64146666666666674</v>
      </c>
      <c r="E105" s="1143">
        <f>0.8656/E101</f>
        <v>0.57706666666666673</v>
      </c>
      <c r="F105" s="1143">
        <f>0.8656/F101</f>
        <v>0.57706666666666673</v>
      </c>
      <c r="G105" s="1143">
        <f>0.8656/G101</f>
        <v>0.57706666666666673</v>
      </c>
      <c r="H105" s="1143">
        <f>0.8656/H101</f>
        <v>0.57706666666666673</v>
      </c>
      <c r="I105" s="1143">
        <f>0.8656/I101</f>
        <v>0.57706666666666673</v>
      </c>
      <c r="J105" s="1143">
        <f>0.7525/J101</f>
        <v>0.50166666666666659</v>
      </c>
      <c r="K105" s="1143">
        <f>0.7525/K101</f>
        <v>0.50166666666666659</v>
      </c>
      <c r="L105" s="1143">
        <f>0.7525/L101</f>
        <v>0.50166666666666659</v>
      </c>
      <c r="M105" s="1143">
        <f>0.7525/M101</f>
        <v>0.50166666666666659</v>
      </c>
      <c r="N105" s="1143">
        <f>0.7525/N101</f>
        <v>0.50166666666666659</v>
      </c>
    </row>
    <row r="106" spans="1:14">
      <c r="A106" s="3479"/>
      <c r="B106" s="1142">
        <v>5</v>
      </c>
      <c r="C106" s="1143">
        <f>0.8417/C101</f>
        <v>0.56113333333333337</v>
      </c>
      <c r="D106" s="1143">
        <f>0.8417/D101</f>
        <v>0.56113333333333337</v>
      </c>
      <c r="E106" s="1143">
        <f>0.7371/E101</f>
        <v>0.4914</v>
      </c>
      <c r="F106" s="1143">
        <f>0.7371/F101</f>
        <v>0.4914</v>
      </c>
      <c r="G106" s="1143">
        <f>0.7371/G101</f>
        <v>0.4914</v>
      </c>
      <c r="H106" s="1143">
        <f>0.7371/H101</f>
        <v>0.4914</v>
      </c>
      <c r="I106" s="1143">
        <f>0.7371/I101</f>
        <v>0.4914</v>
      </c>
      <c r="J106" s="1143">
        <f>0.5659/J101</f>
        <v>0.37726666666666664</v>
      </c>
      <c r="K106" s="1143">
        <f>0.5659/K101</f>
        <v>0.37726666666666664</v>
      </c>
      <c r="L106" s="1143">
        <f>0.5659/L101</f>
        <v>0.37726666666666664</v>
      </c>
      <c r="M106" s="1143">
        <f>0.5659/M101</f>
        <v>0.37726666666666664</v>
      </c>
      <c r="N106" s="1143">
        <f>0.5659/N101</f>
        <v>0.37726666666666664</v>
      </c>
    </row>
    <row r="107" spans="1:14">
      <c r="A107" s="3479"/>
      <c r="B107" s="1142">
        <v>6</v>
      </c>
      <c r="C107" s="1143">
        <f>0.7608/C101</f>
        <v>0.50719999999999998</v>
      </c>
      <c r="D107" s="1143">
        <f>0.7608/D101</f>
        <v>0.50719999999999998</v>
      </c>
      <c r="E107" s="1143">
        <f>0.6482/E101</f>
        <v>0.43213333333333331</v>
      </c>
      <c r="F107" s="1143">
        <f>0.6482/F101</f>
        <v>0.43213333333333331</v>
      </c>
      <c r="G107" s="1143">
        <f>0.6482/G101</f>
        <v>0.43213333333333331</v>
      </c>
      <c r="H107" s="1143">
        <f>0.6482/H101</f>
        <v>0.43213333333333331</v>
      </c>
      <c r="I107" s="1143">
        <f>0.6482/I101</f>
        <v>0.43213333333333331</v>
      </c>
      <c r="J107" s="1143">
        <f>0.4525/J101</f>
        <v>0.30166666666666669</v>
      </c>
      <c r="K107" s="1143">
        <f>0.4525/K101</f>
        <v>0.30166666666666669</v>
      </c>
      <c r="L107" s="1143">
        <f>0.4525/L101</f>
        <v>0.30166666666666669</v>
      </c>
      <c r="M107" s="1143">
        <f>0.4525/M101</f>
        <v>0.30166666666666669</v>
      </c>
      <c r="N107" s="1143">
        <f>0.4525/N101</f>
        <v>0.30166666666666669</v>
      </c>
    </row>
    <row r="108" spans="1:14">
      <c r="A108" s="3479"/>
      <c r="B108" s="3481" t="s">
        <v>1635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80"/>
      <c r="B109" s="3482"/>
      <c r="C109" s="1145">
        <f>(-0.163*(C108^2)-0.59*C108+7617)*(10^(-4))/C101</f>
        <v>0.5067898666666667</v>
      </c>
      <c r="D109" s="1145">
        <f>(-0.163*(D108^2)-0.59*D108+7617)*(10^(-4))/D101</f>
        <v>0.5067898666666667</v>
      </c>
      <c r="E109" s="1145">
        <f>(-0.161*(E108^2)-7.509*E108+6533)*(10^(-4))/E101</f>
        <v>0.43084159999999999</v>
      </c>
      <c r="F109" s="1145">
        <f>(-0.161*(F108^2)-7.509*F108+6533)*(10^(-4))/F101</f>
        <v>0.43084159999999999</v>
      </c>
      <c r="G109" s="1145">
        <f>(-0.161*(G108^2)-7.509*G108+6533)*(10^(-4))/G101</f>
        <v>0.43084159999999999</v>
      </c>
      <c r="H109" s="1145">
        <f>(-0.161*(H108^2)-7.509*H108+6533)*(10^(-4))/H101</f>
        <v>0.43084159999999999</v>
      </c>
      <c r="I109" s="1145">
        <f>(-0.161*(I108^2)-7.509*I108+6533)*(10^(-4))/I101</f>
        <v>0.43084159999999999</v>
      </c>
      <c r="J109" s="1145">
        <f>(-0.214*(J108^2)-21.991*J108+4665)*(10^(-4))/J101</f>
        <v>0.29835840000000002</v>
      </c>
      <c r="K109" s="1145">
        <f>(-0.214*(K108^2)-21.991*K108+4665)*(10^(-4))/K101</f>
        <v>0.29835840000000002</v>
      </c>
      <c r="L109" s="1145">
        <f>(-0.214*(L108^2)-21.991*L108+4665)*(10^(-4))/L101</f>
        <v>0.29835840000000002</v>
      </c>
      <c r="M109" s="1145">
        <f>(-0.214*(M108^2)-21.991*M108+4665)*(10^(-4))/M101</f>
        <v>0.29835840000000002</v>
      </c>
      <c r="N109" s="1145">
        <f>(-0.214*(N108^2)-21.991*N108+4665)*(10^(-4))/N101</f>
        <v>0.29835840000000002</v>
      </c>
    </row>
    <row r="110" spans="1:14">
      <c r="A110" s="3483" t="s">
        <v>1636</v>
      </c>
      <c r="B110" s="3483"/>
      <c r="C110" s="3483"/>
      <c r="D110" s="3483"/>
      <c r="E110" s="3483"/>
      <c r="F110" s="3483"/>
      <c r="G110" s="3483"/>
      <c r="H110" s="3483"/>
      <c r="I110" s="3483"/>
      <c r="J110" s="3483"/>
      <c r="K110" s="2470"/>
      <c r="L110" s="2470"/>
      <c r="M110" s="2470"/>
      <c r="N110" s="2470"/>
    </row>
    <row r="112" spans="1:14" ht="12.75" thickBot="1"/>
    <row r="113" spans="1:13" ht="25.5" thickBot="1">
      <c r="A113" s="1015" t="s">
        <v>892</v>
      </c>
      <c r="B113" s="2473">
        <f>G3</f>
        <v>1.5</v>
      </c>
      <c r="C113" s="1016" t="s">
        <v>893</v>
      </c>
      <c r="D113" s="1017">
        <f>SUMPRODUCT((A115:A118=F113)*(B114:M114=H113)*B115:M118)</f>
        <v>0</v>
      </c>
      <c r="E113" s="1018" t="s">
        <v>894</v>
      </c>
      <c r="F113" s="1019">
        <f>E2</f>
        <v>0</v>
      </c>
      <c r="G113" s="1018" t="s">
        <v>895</v>
      </c>
      <c r="H113" s="1019">
        <f>G2</f>
        <v>0</v>
      </c>
      <c r="I113" s="1018"/>
      <c r="J113" s="1010"/>
      <c r="K113" s="1010"/>
      <c r="L113" s="1010"/>
      <c r="M113" s="1010"/>
    </row>
    <row r="114" spans="1:13" ht="12.75">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2.75">
      <c r="A115" s="1028" t="s">
        <v>896</v>
      </c>
      <c r="B115" s="1029">
        <f>ROUND(0.9335-0.0094*B113,4)</f>
        <v>0.9194</v>
      </c>
      <c r="C115" s="1029">
        <f>B115</f>
        <v>0.9194</v>
      </c>
      <c r="D115" s="1029">
        <f>ROUND(0.8331-0.0109*B113,4)</f>
        <v>0.81679999999999997</v>
      </c>
      <c r="E115" s="1029">
        <f>D115</f>
        <v>0.81679999999999997</v>
      </c>
      <c r="F115" s="1029">
        <f>E115</f>
        <v>0.81679999999999997</v>
      </c>
      <c r="G115" s="1029">
        <f>F115</f>
        <v>0.81679999999999997</v>
      </c>
      <c r="H115" s="1029">
        <f>G115</f>
        <v>0.81679999999999997</v>
      </c>
      <c r="I115" s="1029">
        <f>ROUND(0.689-0.0155*B113,4)</f>
        <v>0.66579999999999995</v>
      </c>
      <c r="J115" s="1029">
        <f t="shared" ref="J115:M118" si="33">I115</f>
        <v>0.66579999999999995</v>
      </c>
      <c r="K115" s="1029">
        <f t="shared" si="33"/>
        <v>0.66579999999999995</v>
      </c>
      <c r="L115" s="1029">
        <f t="shared" si="33"/>
        <v>0.66579999999999995</v>
      </c>
      <c r="M115" s="1030">
        <f t="shared" si="33"/>
        <v>0.66579999999999995</v>
      </c>
    </row>
    <row r="116" spans="1:13" ht="12.75">
      <c r="A116" s="1028" t="s">
        <v>897</v>
      </c>
      <c r="B116" s="1029">
        <f>ROUND(0.949-0.012*B113,4)</f>
        <v>0.93100000000000005</v>
      </c>
      <c r="C116" s="1029">
        <f>B116</f>
        <v>0.93100000000000005</v>
      </c>
      <c r="D116" s="1029">
        <f>ROUND(0.8567-0.013*B113,4)</f>
        <v>0.83720000000000006</v>
      </c>
      <c r="E116" s="1029">
        <f t="shared" ref="E116:H117" si="34">D116</f>
        <v>0.83720000000000006</v>
      </c>
      <c r="F116" s="1029">
        <f t="shared" si="34"/>
        <v>0.83720000000000006</v>
      </c>
      <c r="G116" s="1029">
        <f t="shared" si="34"/>
        <v>0.83720000000000006</v>
      </c>
      <c r="H116" s="1029">
        <f t="shared" si="34"/>
        <v>0.83720000000000006</v>
      </c>
      <c r="I116" s="1029">
        <f>ROUND(0.7694-0.014*B113,4)</f>
        <v>0.74839999999999995</v>
      </c>
      <c r="J116" s="1029">
        <f t="shared" si="33"/>
        <v>0.74839999999999995</v>
      </c>
      <c r="K116" s="1029">
        <f t="shared" si="33"/>
        <v>0.74839999999999995</v>
      </c>
      <c r="L116" s="1029">
        <f t="shared" si="33"/>
        <v>0.74839999999999995</v>
      </c>
      <c r="M116" s="1030">
        <f t="shared" si="33"/>
        <v>0.74839999999999995</v>
      </c>
    </row>
    <row r="117" spans="1:13" ht="12.75">
      <c r="A117" s="1031" t="s">
        <v>898</v>
      </c>
      <c r="B117" s="1029">
        <f>ROUND(0.8808-0.006*B113,4)</f>
        <v>0.87180000000000002</v>
      </c>
      <c r="C117" s="1029">
        <f>B117</f>
        <v>0.87180000000000002</v>
      </c>
      <c r="D117" s="1029">
        <f>ROUND(0.8748-0.008*B113,4)</f>
        <v>0.86280000000000001</v>
      </c>
      <c r="E117" s="1029">
        <f t="shared" si="34"/>
        <v>0.86280000000000001</v>
      </c>
      <c r="F117" s="1029">
        <f t="shared" si="34"/>
        <v>0.86280000000000001</v>
      </c>
      <c r="G117" s="1029">
        <f t="shared" si="34"/>
        <v>0.86280000000000001</v>
      </c>
      <c r="H117" s="1029">
        <f t="shared" si="34"/>
        <v>0.86280000000000001</v>
      </c>
      <c r="I117" s="1029">
        <f>ROUND(0.7412-0.0095*B113,4)</f>
        <v>0.72699999999999998</v>
      </c>
      <c r="J117" s="1029">
        <f t="shared" si="33"/>
        <v>0.72699999999999998</v>
      </c>
      <c r="K117" s="1029">
        <f t="shared" si="33"/>
        <v>0.72699999999999998</v>
      </c>
      <c r="L117" s="1029">
        <f t="shared" si="33"/>
        <v>0.72699999999999998</v>
      </c>
      <c r="M117" s="1030">
        <f t="shared" si="33"/>
        <v>0.72699999999999998</v>
      </c>
    </row>
    <row r="118" spans="1:13" ht="13.5" thickBot="1">
      <c r="A118" s="1032" t="s">
        <v>899</v>
      </c>
      <c r="B118" s="1033">
        <f>ROUND(0.7275-0.01*B113,4)</f>
        <v>0.71250000000000002</v>
      </c>
      <c r="C118" s="1033">
        <f>B118</f>
        <v>0.71250000000000002</v>
      </c>
      <c r="D118" s="1033">
        <f>ROUND(0.7043-0.012*B113,4)</f>
        <v>0.68630000000000002</v>
      </c>
      <c r="E118" s="1033">
        <f>D118</f>
        <v>0.68630000000000002</v>
      </c>
      <c r="F118" s="1033">
        <f>E118</f>
        <v>0.68630000000000002</v>
      </c>
      <c r="G118" s="1033">
        <f>ROUND(0.6299-0.0122*B113,4)</f>
        <v>0.61160000000000003</v>
      </c>
      <c r="H118" s="1033">
        <f>G118</f>
        <v>0.61160000000000003</v>
      </c>
      <c r="I118" s="1033">
        <f>ROUND(0.5667-0.0136*B113,4)</f>
        <v>0.54630000000000001</v>
      </c>
      <c r="J118" s="1033">
        <f t="shared" si="33"/>
        <v>0.54630000000000001</v>
      </c>
      <c r="K118" s="1033">
        <f t="shared" si="33"/>
        <v>0.54630000000000001</v>
      </c>
      <c r="L118" s="1033">
        <f t="shared" si="33"/>
        <v>0.54630000000000001</v>
      </c>
      <c r="M118" s="1034">
        <f t="shared" si="33"/>
        <v>0.54630000000000001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6" customFormat="1" ht="19.5" customHeight="1">
      <c r="A18" s="3489" t="s">
        <v>1004</v>
      </c>
      <c r="B18" s="1153" t="s">
        <v>1443</v>
      </c>
      <c r="C18" s="1130" t="s">
        <v>1444</v>
      </c>
      <c r="D18" s="1131"/>
      <c r="E18" s="1153">
        <v>1</v>
      </c>
      <c r="F18" s="1132" t="s">
        <v>1445</v>
      </c>
      <c r="G18" s="1133"/>
      <c r="H18" s="1104"/>
      <c r="I18" s="1104"/>
    </row>
    <row r="19" spans="1:9" s="1596" customFormat="1" ht="19.5" customHeight="1">
      <c r="A19" s="3489"/>
      <c r="B19" s="3489" t="s">
        <v>1446</v>
      </c>
      <c r="C19" s="1130" t="s">
        <v>1447</v>
      </c>
      <c r="D19" s="1131"/>
      <c r="E19" s="1153">
        <v>0.9</v>
      </c>
      <c r="F19" s="1132" t="s">
        <v>1448</v>
      </c>
      <c r="G19" s="1133"/>
      <c r="H19" s="1104"/>
      <c r="I19" s="1104"/>
    </row>
    <row r="20" spans="1:9" s="1596" customFormat="1" ht="19.5" customHeight="1">
      <c r="A20" s="3489"/>
      <c r="B20" s="3489"/>
      <c r="C20" s="1130" t="s">
        <v>1449</v>
      </c>
      <c r="D20" s="1131"/>
      <c r="E20" s="1153">
        <v>1.1000000000000001</v>
      </c>
      <c r="F20" s="1132" t="s">
        <v>1450</v>
      </c>
      <c r="G20" s="1133"/>
      <c r="H20" s="1104"/>
      <c r="I20" s="1104"/>
    </row>
    <row r="21" spans="1:9" s="1596" customFormat="1" ht="19.5" customHeight="1">
      <c r="A21" s="3489"/>
      <c r="B21" s="3489"/>
      <c r="C21" s="1130" t="s">
        <v>1451</v>
      </c>
      <c r="D21" s="1131"/>
      <c r="E21" s="1153">
        <v>0.8</v>
      </c>
      <c r="F21" s="1132" t="s">
        <v>1452</v>
      </c>
      <c r="G21" s="1133"/>
      <c r="H21" s="1104"/>
      <c r="I21" s="1104"/>
    </row>
    <row r="22" spans="1:9" s="1596" customFormat="1" ht="19.5" customHeight="1">
      <c r="A22" s="3489"/>
      <c r="B22" s="3489"/>
      <c r="C22" s="1130" t="s">
        <v>1453</v>
      </c>
      <c r="D22" s="1131"/>
      <c r="E22" s="1153">
        <v>0.5</v>
      </c>
      <c r="F22" s="1132"/>
      <c r="G22" s="1133"/>
      <c r="H22" s="1104"/>
      <c r="I22" s="1104"/>
    </row>
    <row r="23" spans="1:9" s="1596" customFormat="1" ht="19.5" customHeight="1">
      <c r="A23" s="3489" t="s">
        <v>1026</v>
      </c>
      <c r="B23" s="1153" t="s">
        <v>1443</v>
      </c>
      <c r="C23" s="1130" t="s">
        <v>1454</v>
      </c>
      <c r="D23" s="1131"/>
      <c r="E23" s="1153">
        <v>1</v>
      </c>
      <c r="F23" s="1132" t="s">
        <v>1455</v>
      </c>
      <c r="G23" s="1133"/>
      <c r="H23" s="1104"/>
      <c r="I23" s="1104"/>
    </row>
    <row r="24" spans="1:9" s="1596" customFormat="1" ht="19.5" customHeight="1">
      <c r="A24" s="3489"/>
      <c r="B24" s="3489" t="s">
        <v>1446</v>
      </c>
      <c r="C24" s="1130" t="s">
        <v>1456</v>
      </c>
      <c r="D24" s="1131"/>
      <c r="E24" s="1153">
        <v>0.5</v>
      </c>
      <c r="F24" s="1132"/>
      <c r="G24" s="1133"/>
      <c r="H24" s="1104"/>
      <c r="I24" s="1104"/>
    </row>
    <row r="25" spans="1:9" s="1596" customFormat="1" ht="19.5" customHeight="1">
      <c r="A25" s="3489"/>
      <c r="B25" s="3489"/>
      <c r="C25" s="1130" t="s">
        <v>1457</v>
      </c>
      <c r="D25" s="1131"/>
      <c r="E25" s="1153">
        <v>1.1000000000000001</v>
      </c>
      <c r="F25" s="1132"/>
      <c r="G25" s="1133"/>
      <c r="H25" s="1104"/>
      <c r="I25" s="1104"/>
    </row>
    <row r="26" spans="1:9" s="1596" customFormat="1" ht="19.5" customHeight="1">
      <c r="A26" s="3489"/>
      <c r="B26" s="3489"/>
      <c r="C26" s="1130" t="s">
        <v>1458</v>
      </c>
      <c r="D26" s="1131"/>
      <c r="E26" s="1153">
        <v>1.1000000000000001</v>
      </c>
      <c r="F26" s="1132"/>
      <c r="G26" s="1133"/>
      <c r="H26" s="1104"/>
      <c r="I26" s="1104"/>
    </row>
    <row r="27" spans="1:9" s="1596" customFormat="1" ht="19.5" customHeight="1">
      <c r="A27" s="3489"/>
      <c r="B27" s="3489"/>
      <c r="C27" s="1130" t="s">
        <v>1459</v>
      </c>
      <c r="D27" s="1131"/>
      <c r="E27" s="1153">
        <v>0.9</v>
      </c>
      <c r="F27" s="1132" t="s">
        <v>1460</v>
      </c>
      <c r="G27" s="1133"/>
      <c r="H27" s="1104"/>
      <c r="I27" s="1104"/>
    </row>
    <row r="28" spans="1:9" s="1596" customFormat="1" ht="19.5" customHeight="1">
      <c r="A28" s="3489"/>
      <c r="B28" s="3489"/>
      <c r="C28" s="1130" t="s">
        <v>1461</v>
      </c>
      <c r="D28" s="1131"/>
      <c r="E28" s="1153">
        <v>0.9</v>
      </c>
      <c r="F28" s="1132" t="s">
        <v>1462</v>
      </c>
      <c r="G28" s="1133"/>
      <c r="H28" s="1104"/>
      <c r="I28" s="1104"/>
    </row>
    <row r="29" spans="1:9" s="1596" customFormat="1" ht="19.5" customHeight="1">
      <c r="A29" s="3489"/>
      <c r="B29" s="3489"/>
      <c r="C29" s="1130" t="s">
        <v>1463</v>
      </c>
      <c r="D29" s="1131"/>
      <c r="E29" s="1153">
        <v>0.9</v>
      </c>
      <c r="F29" s="1132" t="s">
        <v>1464</v>
      </c>
      <c r="G29" s="1133"/>
      <c r="H29" s="1104"/>
      <c r="I29" s="1104"/>
    </row>
    <row r="30" spans="1:9" s="1596" customFormat="1" ht="19.5" customHeight="1">
      <c r="A30" s="3489"/>
      <c r="B30" s="3489"/>
      <c r="C30" s="1130" t="s">
        <v>1465</v>
      </c>
      <c r="D30" s="1131"/>
      <c r="E30" s="1153">
        <v>0.9</v>
      </c>
      <c r="F30" s="1132" t="s">
        <v>1466</v>
      </c>
      <c r="G30" s="1133"/>
      <c r="H30" s="1104"/>
      <c r="I30" s="1104"/>
    </row>
    <row r="31" spans="1:9" s="1596" customFormat="1" ht="19.5" customHeight="1">
      <c r="A31" s="3489"/>
      <c r="B31" s="3489"/>
      <c r="C31" s="1130" t="s">
        <v>1467</v>
      </c>
      <c r="D31" s="1131"/>
      <c r="E31" s="1153">
        <v>0.8</v>
      </c>
      <c r="F31" s="1132" t="s">
        <v>1468</v>
      </c>
      <c r="G31" s="1133"/>
      <c r="H31" s="1104"/>
      <c r="I31" s="1104"/>
    </row>
    <row r="32" spans="1:9" s="1596" customFormat="1" ht="19.5" customHeight="1">
      <c r="A32" s="3489"/>
      <c r="B32" s="3489"/>
      <c r="C32" s="1130" t="s">
        <v>1469</v>
      </c>
      <c r="D32" s="1131"/>
      <c r="E32" s="1153">
        <v>0.8</v>
      </c>
      <c r="F32" s="1132" t="s">
        <v>1470</v>
      </c>
      <c r="G32" s="1133"/>
      <c r="H32" s="1104"/>
      <c r="I32" s="1104"/>
    </row>
    <row r="33" spans="1:9" s="1596" customFormat="1" ht="19.5" customHeight="1">
      <c r="A33" s="3489" t="s">
        <v>1471</v>
      </c>
      <c r="B33" s="1153" t="s">
        <v>1443</v>
      </c>
      <c r="C33" s="1130" t="s">
        <v>1472</v>
      </c>
      <c r="D33" s="1131"/>
      <c r="E33" s="1153">
        <v>1</v>
      </c>
      <c r="F33" s="1132" t="s">
        <v>1473</v>
      </c>
      <c r="G33" s="1133"/>
      <c r="H33" s="1104"/>
      <c r="I33" s="1104"/>
    </row>
    <row r="34" spans="1:9" s="1596" customFormat="1" ht="19.5" customHeight="1">
      <c r="A34" s="3489"/>
      <c r="B34" s="1153" t="s">
        <v>1446</v>
      </c>
      <c r="C34" s="1130" t="s">
        <v>1474</v>
      </c>
      <c r="D34" s="1131"/>
      <c r="E34" s="1153">
        <v>1.5</v>
      </c>
      <c r="F34" s="1132" t="s">
        <v>1475</v>
      </c>
      <c r="G34" s="1133"/>
      <c r="H34" s="1104"/>
      <c r="I34" s="1104"/>
    </row>
    <row r="35" spans="1:9" s="1596" customFormat="1" ht="19.5" customHeight="1">
      <c r="A35" s="3489" t="s">
        <v>1429</v>
      </c>
      <c r="B35" s="1153" t="s">
        <v>1443</v>
      </c>
      <c r="C35" s="1130" t="s">
        <v>1476</v>
      </c>
      <c r="D35" s="1131"/>
      <c r="E35" s="1153">
        <v>1</v>
      </c>
      <c r="F35" s="1132" t="s">
        <v>1477</v>
      </c>
      <c r="G35" s="1133"/>
      <c r="H35" s="1104"/>
      <c r="I35" s="1104"/>
    </row>
    <row r="36" spans="1:9" s="1596" customFormat="1" ht="19.5" customHeight="1">
      <c r="A36" s="3489"/>
      <c r="B36" s="3489" t="s">
        <v>1446</v>
      </c>
      <c r="C36" s="1130" t="s">
        <v>1478</v>
      </c>
      <c r="D36" s="1131"/>
      <c r="E36" s="1153">
        <v>1</v>
      </c>
      <c r="F36" s="1132" t="s">
        <v>1479</v>
      </c>
      <c r="G36" s="1133"/>
      <c r="H36" s="1104"/>
      <c r="I36" s="1104"/>
    </row>
    <row r="37" spans="1:9" s="1596" customFormat="1" ht="19.5" customHeight="1">
      <c r="A37" s="3489"/>
      <c r="B37" s="3489"/>
      <c r="C37" s="1130" t="s">
        <v>1480</v>
      </c>
      <c r="D37" s="1131"/>
      <c r="E37" s="1153">
        <v>1.5</v>
      </c>
      <c r="F37" s="1132" t="s">
        <v>1481</v>
      </c>
      <c r="G37" s="1133"/>
      <c r="H37" s="1104"/>
      <c r="I37" s="1104"/>
    </row>
    <row r="38" spans="1:9" s="1596" customFormat="1" ht="19.5" customHeight="1">
      <c r="A38" s="3489"/>
      <c r="B38" s="3489"/>
      <c r="C38" s="1130" t="s">
        <v>1482</v>
      </c>
      <c r="D38" s="1131"/>
      <c r="E38" s="1153">
        <v>1</v>
      </c>
      <c r="F38" s="1132" t="s">
        <v>1483</v>
      </c>
      <c r="G38" s="1133"/>
      <c r="H38" s="1104"/>
      <c r="I38" s="1104"/>
    </row>
    <row r="39" spans="1:9" s="1596" customFormat="1" ht="19.5" customHeight="1">
      <c r="A39" s="3489"/>
      <c r="B39" s="3489"/>
      <c r="C39" s="1130" t="s">
        <v>1484</v>
      </c>
      <c r="D39" s="1131"/>
      <c r="E39" s="1153">
        <v>1</v>
      </c>
      <c r="F39" s="1132" t="s">
        <v>1485</v>
      </c>
      <c r="G39" s="1133"/>
      <c r="H39" s="1104"/>
      <c r="I39" s="1104"/>
    </row>
    <row r="40" spans="1:9" s="1596" customFormat="1" ht="19.5" customHeight="1">
      <c r="A40" s="1597" t="s">
        <v>1486</v>
      </c>
      <c r="B40" s="1597"/>
      <c r="C40" s="1597"/>
      <c r="D40" s="1597"/>
      <c r="E40" s="1597"/>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24">
      <c r="A61" s="1153">
        <v>1</v>
      </c>
      <c r="B61" s="3489" t="s">
        <v>1498</v>
      </c>
      <c r="C61" s="1067" t="s">
        <v>1499</v>
      </c>
      <c r="D61" s="1067" t="s">
        <v>1500</v>
      </c>
      <c r="E61" s="1138">
        <v>0.5</v>
      </c>
      <c r="F61" s="1153">
        <v>80</v>
      </c>
      <c r="H61" s="1104">
        <f>SUMIF(C59:C119,基准地价!C8,E59:E119)</f>
        <v>0</v>
      </c>
    </row>
    <row r="62" spans="1:8" s="1104" customFormat="1" ht="24">
      <c r="A62" s="1153">
        <v>2</v>
      </c>
      <c r="B62" s="3489"/>
      <c r="C62" s="1067" t="s">
        <v>1501</v>
      </c>
      <c r="D62" s="1067" t="s">
        <v>1502</v>
      </c>
      <c r="E62" s="1138">
        <v>0.5</v>
      </c>
      <c r="F62" s="1153">
        <v>80</v>
      </c>
    </row>
    <row r="63" spans="1:8" s="1104" customFormat="1" ht="36">
      <c r="A63" s="1153">
        <v>3</v>
      </c>
      <c r="B63" s="3489"/>
      <c r="C63" s="1067" t="s">
        <v>1503</v>
      </c>
      <c r="D63" s="1067" t="s">
        <v>1504</v>
      </c>
      <c r="E63" s="1138">
        <v>0.5</v>
      </c>
      <c r="F63" s="1153">
        <v>80</v>
      </c>
    </row>
    <row r="64" spans="1:8" s="1104" customFormat="1" ht="36">
      <c r="A64" s="1153">
        <v>4</v>
      </c>
      <c r="B64" s="3489"/>
      <c r="C64" s="1067" t="s">
        <v>1505</v>
      </c>
      <c r="D64" s="1067" t="s">
        <v>1506</v>
      </c>
      <c r="E64" s="1138">
        <v>0.4</v>
      </c>
      <c r="F64" s="1153">
        <v>60</v>
      </c>
    </row>
    <row r="65" spans="1:6" s="1104" customFormat="1" ht="36">
      <c r="A65" s="1153">
        <v>5</v>
      </c>
      <c r="B65" s="3489"/>
      <c r="C65" s="1067" t="s">
        <v>1507</v>
      </c>
      <c r="D65" s="1067" t="s">
        <v>1508</v>
      </c>
      <c r="E65" s="1138">
        <v>0.2</v>
      </c>
      <c r="F65" s="1153">
        <v>30</v>
      </c>
    </row>
    <row r="66" spans="1:6" s="1104" customFormat="1" ht="36">
      <c r="A66" s="1153">
        <v>6</v>
      </c>
      <c r="B66" s="3489"/>
      <c r="C66" s="1067" t="s">
        <v>1509</v>
      </c>
      <c r="D66" s="1067" t="s">
        <v>1510</v>
      </c>
      <c r="E66" s="1138">
        <v>0.3</v>
      </c>
      <c r="F66" s="1153">
        <v>50</v>
      </c>
    </row>
    <row r="67" spans="1:6" s="1104" customFormat="1" ht="36">
      <c r="A67" s="1153">
        <v>7</v>
      </c>
      <c r="B67" s="3489"/>
      <c r="C67" s="1067" t="s">
        <v>1511</v>
      </c>
      <c r="D67" s="1067" t="s">
        <v>1512</v>
      </c>
      <c r="E67" s="1138">
        <v>0.2</v>
      </c>
      <c r="F67" s="1153">
        <v>30</v>
      </c>
    </row>
    <row r="68" spans="1:6" s="1104" customFormat="1" ht="36">
      <c r="A68" s="1153">
        <v>8</v>
      </c>
      <c r="B68" s="3489"/>
      <c r="C68" s="1067" t="s">
        <v>1513</v>
      </c>
      <c r="D68" s="1067" t="s">
        <v>1514</v>
      </c>
      <c r="E68" s="1138">
        <v>0.2</v>
      </c>
      <c r="F68" s="1153">
        <v>30</v>
      </c>
    </row>
    <row r="69" spans="1:6" s="1104" customFormat="1" ht="36">
      <c r="A69" s="1153">
        <v>9</v>
      </c>
      <c r="B69" s="3489"/>
      <c r="C69" s="1067" t="s">
        <v>1515</v>
      </c>
      <c r="D69" s="1067" t="s">
        <v>1516</v>
      </c>
      <c r="E69" s="1138">
        <v>0.2</v>
      </c>
      <c r="F69" s="1153">
        <v>30</v>
      </c>
    </row>
    <row r="70" spans="1:6" s="1104" customFormat="1" ht="48">
      <c r="A70" s="1153">
        <v>10</v>
      </c>
      <c r="B70" s="3489"/>
      <c r="C70" s="1067" t="s">
        <v>1517</v>
      </c>
      <c r="D70" s="1067" t="s">
        <v>1518</v>
      </c>
      <c r="E70" s="1138">
        <v>0.2</v>
      </c>
      <c r="F70" s="1153">
        <v>30</v>
      </c>
    </row>
    <row r="71" spans="1:6" s="1104" customFormat="1" ht="48">
      <c r="A71" s="1153">
        <v>11</v>
      </c>
      <c r="B71" s="3489"/>
      <c r="C71" s="1067" t="s">
        <v>1519</v>
      </c>
      <c r="D71" s="1067" t="s">
        <v>1520</v>
      </c>
      <c r="E71" s="1138">
        <v>0.2</v>
      </c>
      <c r="F71" s="1153">
        <v>30</v>
      </c>
    </row>
    <row r="72" spans="1:6" s="1104" customFormat="1" ht="36">
      <c r="A72" s="1153">
        <v>12</v>
      </c>
      <c r="B72" s="3489"/>
      <c r="C72" s="1067" t="s">
        <v>1521</v>
      </c>
      <c r="D72" s="1067" t="s">
        <v>1522</v>
      </c>
      <c r="E72" s="1138">
        <v>0.5</v>
      </c>
      <c r="F72" s="1153">
        <v>80</v>
      </c>
    </row>
    <row r="73" spans="1:6" s="1104" customFormat="1" ht="24">
      <c r="A73" s="1153">
        <v>13</v>
      </c>
      <c r="B73" s="3489"/>
      <c r="C73" s="1067" t="s">
        <v>1523</v>
      </c>
      <c r="D73" s="1067" t="s">
        <v>1524</v>
      </c>
      <c r="E73" s="1138">
        <v>0.4</v>
      </c>
      <c r="F73" s="1153">
        <v>60</v>
      </c>
    </row>
    <row r="74" spans="1:6" s="1104" customFormat="1" ht="24">
      <c r="A74" s="1153">
        <v>14</v>
      </c>
      <c r="B74" s="3489"/>
      <c r="C74" s="1067" t="s">
        <v>1525</v>
      </c>
      <c r="D74" s="1067" t="s">
        <v>1526</v>
      </c>
      <c r="E74" s="1138">
        <v>0.2</v>
      </c>
      <c r="F74" s="1153">
        <v>30</v>
      </c>
    </row>
    <row r="75" spans="1:6" s="1104" customFormat="1" ht="24">
      <c r="A75" s="1153">
        <v>15</v>
      </c>
      <c r="B75" s="3489"/>
      <c r="C75" s="1067" t="s">
        <v>1527</v>
      </c>
      <c r="D75" s="1067" t="s">
        <v>1528</v>
      </c>
      <c r="E75" s="1138">
        <v>0.2</v>
      </c>
      <c r="F75" s="1153">
        <v>30</v>
      </c>
    </row>
    <row r="76" spans="1:6" s="1104" customFormat="1" ht="24">
      <c r="A76" s="1153">
        <v>16</v>
      </c>
      <c r="B76" s="3489" t="s">
        <v>1529</v>
      </c>
      <c r="C76" s="1067" t="s">
        <v>1530</v>
      </c>
      <c r="D76" s="1067" t="s">
        <v>1531</v>
      </c>
      <c r="E76" s="1138">
        <v>0.5</v>
      </c>
      <c r="F76" s="1153">
        <v>80</v>
      </c>
    </row>
    <row r="77" spans="1:6" s="1104" customFormat="1" ht="24">
      <c r="A77" s="1153">
        <v>17</v>
      </c>
      <c r="B77" s="3489"/>
      <c r="C77" s="1067" t="s">
        <v>1532</v>
      </c>
      <c r="D77" s="1067" t="s">
        <v>1533</v>
      </c>
      <c r="E77" s="1138">
        <v>0.5</v>
      </c>
      <c r="F77" s="1153">
        <v>80</v>
      </c>
    </row>
    <row r="78" spans="1:6" s="1104" customFormat="1" ht="24">
      <c r="A78" s="1153">
        <v>18</v>
      </c>
      <c r="B78" s="3489"/>
      <c r="C78" s="1067" t="s">
        <v>1534</v>
      </c>
      <c r="D78" s="1067" t="s">
        <v>1535</v>
      </c>
      <c r="E78" s="1138">
        <v>0.2</v>
      </c>
      <c r="F78" s="1153">
        <v>30</v>
      </c>
    </row>
    <row r="79" spans="1:6" s="1104" customFormat="1" ht="24">
      <c r="A79" s="1153">
        <v>19</v>
      </c>
      <c r="B79" s="3489"/>
      <c r="C79" s="1067" t="s">
        <v>1536</v>
      </c>
      <c r="D79" s="1067" t="s">
        <v>1537</v>
      </c>
      <c r="E79" s="1138">
        <v>0.5</v>
      </c>
      <c r="F79" s="1153">
        <v>80</v>
      </c>
    </row>
    <row r="80" spans="1:6" s="1104" customFormat="1" ht="36">
      <c r="A80" s="1153">
        <v>20</v>
      </c>
      <c r="B80" s="3489"/>
      <c r="C80" s="1067" t="s">
        <v>1538</v>
      </c>
      <c r="D80" s="1067" t="s">
        <v>1539</v>
      </c>
      <c r="E80" s="1138">
        <v>0.2</v>
      </c>
      <c r="F80" s="1153">
        <v>30</v>
      </c>
    </row>
    <row r="81" spans="1:6" s="1104" customFormat="1" ht="36">
      <c r="A81" s="1153">
        <v>21</v>
      </c>
      <c r="B81" s="3489"/>
      <c r="C81" s="1067" t="s">
        <v>1540</v>
      </c>
      <c r="D81" s="1067" t="s">
        <v>1541</v>
      </c>
      <c r="E81" s="1138">
        <v>0.2</v>
      </c>
      <c r="F81" s="1153">
        <v>30</v>
      </c>
    </row>
    <row r="82" spans="1:6" s="1104" customFormat="1" ht="48">
      <c r="A82" s="1153">
        <v>22</v>
      </c>
      <c r="B82" s="3489"/>
      <c r="C82" s="1067" t="s">
        <v>1542</v>
      </c>
      <c r="D82" s="1067" t="s">
        <v>1543</v>
      </c>
      <c r="E82" s="1138">
        <v>0.2</v>
      </c>
      <c r="F82" s="1153">
        <v>30</v>
      </c>
    </row>
    <row r="83" spans="1:6" s="1104" customFormat="1" ht="48">
      <c r="A83" s="1153">
        <v>23</v>
      </c>
      <c r="B83" s="3489"/>
      <c r="C83" s="1067" t="s">
        <v>1544</v>
      </c>
      <c r="D83" s="1067" t="s">
        <v>1545</v>
      </c>
      <c r="E83" s="1138">
        <v>0.2</v>
      </c>
      <c r="F83" s="1153">
        <v>30</v>
      </c>
    </row>
    <row r="84" spans="1:6" s="1104" customFormat="1" ht="36">
      <c r="A84" s="1153">
        <v>24</v>
      </c>
      <c r="B84" s="3489"/>
      <c r="C84" s="1067" t="s">
        <v>1546</v>
      </c>
      <c r="D84" s="1067" t="s">
        <v>1547</v>
      </c>
      <c r="E84" s="1138">
        <v>0.2</v>
      </c>
      <c r="F84" s="1153">
        <v>30</v>
      </c>
    </row>
    <row r="85" spans="1:6" s="1104" customFormat="1" ht="36">
      <c r="A85" s="1153">
        <v>25</v>
      </c>
      <c r="B85" s="3489"/>
      <c r="C85" s="1067" t="s">
        <v>1548</v>
      </c>
      <c r="D85" s="1067" t="s">
        <v>1549</v>
      </c>
      <c r="E85" s="1138">
        <v>0.5</v>
      </c>
      <c r="F85" s="1153">
        <v>80</v>
      </c>
    </row>
    <row r="86" spans="1:6" s="1104" customFormat="1" ht="36">
      <c r="A86" s="1153">
        <v>26</v>
      </c>
      <c r="B86" s="3489"/>
      <c r="C86" s="1067" t="s">
        <v>1550</v>
      </c>
      <c r="D86" s="1067" t="s">
        <v>1551</v>
      </c>
      <c r="E86" s="1138">
        <v>0.2</v>
      </c>
      <c r="F86" s="1153">
        <v>30</v>
      </c>
    </row>
    <row r="87" spans="1:6" s="1104" customFormat="1" ht="36">
      <c r="A87" s="1153">
        <v>27</v>
      </c>
      <c r="B87" s="3489"/>
      <c r="C87" s="1067" t="s">
        <v>1552</v>
      </c>
      <c r="D87" s="1067" t="s">
        <v>1553</v>
      </c>
      <c r="E87" s="1138">
        <v>0.2</v>
      </c>
      <c r="F87" s="1153">
        <v>30</v>
      </c>
    </row>
    <row r="88" spans="1:6" s="1104" customFormat="1" ht="36">
      <c r="A88" s="1153">
        <v>28</v>
      </c>
      <c r="B88" s="3489"/>
      <c r="C88" s="1067" t="s">
        <v>1554</v>
      </c>
      <c r="D88" s="1067" t="s">
        <v>1555</v>
      </c>
      <c r="E88" s="1138">
        <v>0.2</v>
      </c>
      <c r="F88" s="1153">
        <v>30</v>
      </c>
    </row>
    <row r="89" spans="1:6" s="1104" customFormat="1" ht="24">
      <c r="A89" s="1153">
        <v>29</v>
      </c>
      <c r="B89" s="3489"/>
      <c r="C89" s="1067" t="s">
        <v>1556</v>
      </c>
      <c r="D89" s="1067" t="s">
        <v>1557</v>
      </c>
      <c r="E89" s="1138">
        <v>0.2</v>
      </c>
      <c r="F89" s="1153">
        <v>30</v>
      </c>
    </row>
    <row r="90" spans="1:6" s="1104" customFormat="1" ht="24">
      <c r="A90" s="1153">
        <v>30</v>
      </c>
      <c r="B90" s="3489"/>
      <c r="C90" s="1067" t="s">
        <v>1558</v>
      </c>
      <c r="D90" s="1067" t="s">
        <v>1559</v>
      </c>
      <c r="E90" s="1138">
        <v>0.2</v>
      </c>
      <c r="F90" s="1153">
        <v>30</v>
      </c>
    </row>
    <row r="91" spans="1:6" s="1104" customFormat="1" ht="36">
      <c r="A91" s="1153">
        <v>31</v>
      </c>
      <c r="B91" s="3489"/>
      <c r="C91" s="1067" t="s">
        <v>1560</v>
      </c>
      <c r="D91" s="1067" t="s">
        <v>1561</v>
      </c>
      <c r="E91" s="1138">
        <v>0.2</v>
      </c>
      <c r="F91" s="1153">
        <v>30</v>
      </c>
    </row>
    <row r="92" spans="1:6" s="1104" customFormat="1" ht="24">
      <c r="A92" s="1153">
        <v>32</v>
      </c>
      <c r="B92" s="3489" t="s">
        <v>1562</v>
      </c>
      <c r="C92" s="1153" t="s">
        <v>1563</v>
      </c>
      <c r="D92" s="1067" t="s">
        <v>1564</v>
      </c>
      <c r="E92" s="1138">
        <v>0.2</v>
      </c>
      <c r="F92" s="1153">
        <v>30</v>
      </c>
    </row>
    <row r="93" spans="1:6" s="1104" customFormat="1" ht="36">
      <c r="A93" s="1153">
        <v>33</v>
      </c>
      <c r="B93" s="3489"/>
      <c r="C93" s="1153" t="s">
        <v>1565</v>
      </c>
      <c r="D93" s="1067" t="s">
        <v>1566</v>
      </c>
      <c r="E93" s="1138">
        <v>0.2</v>
      </c>
      <c r="F93" s="1153">
        <v>30</v>
      </c>
    </row>
    <row r="94" spans="1:6" s="1104" customFormat="1" ht="48">
      <c r="A94" s="1153">
        <v>34</v>
      </c>
      <c r="B94" s="3489"/>
      <c r="C94" s="1153" t="s">
        <v>1567</v>
      </c>
      <c r="D94" s="1067" t="s">
        <v>1568</v>
      </c>
      <c r="E94" s="1138">
        <v>0.2</v>
      </c>
      <c r="F94" s="1153">
        <v>30</v>
      </c>
    </row>
    <row r="95" spans="1:6" s="1104" customFormat="1" ht="36">
      <c r="A95" s="1153">
        <v>35</v>
      </c>
      <c r="B95" s="3489"/>
      <c r="C95" s="1153" t="s">
        <v>1569</v>
      </c>
      <c r="D95" s="1067" t="s">
        <v>1570</v>
      </c>
      <c r="E95" s="1138">
        <v>0.2</v>
      </c>
      <c r="F95" s="1153">
        <v>30</v>
      </c>
    </row>
    <row r="96" spans="1:6" s="1104" customFormat="1" ht="48">
      <c r="A96" s="1153">
        <v>36</v>
      </c>
      <c r="B96" s="3489"/>
      <c r="C96" s="1067" t="s">
        <v>1571</v>
      </c>
      <c r="D96" s="1067" t="s">
        <v>1572</v>
      </c>
      <c r="E96" s="1138">
        <v>0.2</v>
      </c>
      <c r="F96" s="1153">
        <v>30</v>
      </c>
    </row>
    <row r="97" spans="1:6" s="1104" customFormat="1" ht="36">
      <c r="A97" s="1153">
        <v>37</v>
      </c>
      <c r="B97" s="3489"/>
      <c r="C97" s="1153" t="s">
        <v>1573</v>
      </c>
      <c r="D97" s="1067" t="s">
        <v>1574</v>
      </c>
      <c r="E97" s="1138">
        <v>0.2</v>
      </c>
      <c r="F97" s="1153">
        <v>30</v>
      </c>
    </row>
    <row r="98" spans="1:6" s="1104" customFormat="1" ht="36">
      <c r="A98" s="1153">
        <v>38</v>
      </c>
      <c r="B98" s="3489"/>
      <c r="C98" s="1153" t="s">
        <v>1575</v>
      </c>
      <c r="D98" s="1067" t="s">
        <v>1576</v>
      </c>
      <c r="E98" s="1138">
        <v>0.2</v>
      </c>
      <c r="F98" s="1153">
        <v>30</v>
      </c>
    </row>
    <row r="99" spans="1:6" s="1104" customFormat="1" ht="36">
      <c r="A99" s="1153">
        <v>39</v>
      </c>
      <c r="B99" s="3489" t="s">
        <v>1577</v>
      </c>
      <c r="C99" s="1153" t="s">
        <v>1578</v>
      </c>
      <c r="D99" s="1067" t="s">
        <v>1579</v>
      </c>
      <c r="E99" s="1138">
        <v>0.3</v>
      </c>
      <c r="F99" s="1153">
        <v>50</v>
      </c>
    </row>
    <row r="100" spans="1:6" s="1104" customFormat="1" ht="24">
      <c r="A100" s="1153">
        <v>40</v>
      </c>
      <c r="B100" s="3489"/>
      <c r="C100" s="1153" t="s">
        <v>1580</v>
      </c>
      <c r="D100" s="1067" t="s">
        <v>1581</v>
      </c>
      <c r="E100" s="1138">
        <v>0.2</v>
      </c>
      <c r="F100" s="1153">
        <v>30</v>
      </c>
    </row>
    <row r="101" spans="1:6" s="1104" customFormat="1" ht="36">
      <c r="A101" s="1153">
        <v>41</v>
      </c>
      <c r="B101" s="3489"/>
      <c r="C101" s="1153" t="s">
        <v>1582</v>
      </c>
      <c r="D101" s="1067" t="s">
        <v>1579</v>
      </c>
      <c r="E101" s="1138">
        <v>0.2</v>
      </c>
      <c r="F101" s="1153">
        <v>30</v>
      </c>
    </row>
    <row r="102" spans="1:6" s="1104" customFormat="1" ht="48">
      <c r="A102" s="1153">
        <v>42</v>
      </c>
      <c r="B102" s="1153" t="s">
        <v>1583</v>
      </c>
      <c r="C102" s="1067" t="s">
        <v>1584</v>
      </c>
      <c r="D102" s="1067" t="s">
        <v>1585</v>
      </c>
      <c r="E102" s="1138">
        <v>0.2</v>
      </c>
      <c r="F102" s="1153">
        <v>30</v>
      </c>
    </row>
    <row r="103" spans="1:6" s="1104" customFormat="1" ht="24">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36">
      <c r="A105" s="1153">
        <v>45</v>
      </c>
      <c r="B105" s="3489" t="s">
        <v>1592</v>
      </c>
      <c r="C105" s="1153" t="s">
        <v>1593</v>
      </c>
      <c r="D105" s="1067" t="s">
        <v>1594</v>
      </c>
      <c r="E105" s="1138">
        <v>0.2</v>
      </c>
      <c r="F105" s="1153">
        <v>30</v>
      </c>
    </row>
    <row r="106" spans="1:6" s="1104" customFormat="1" ht="36">
      <c r="A106" s="1153">
        <v>46</v>
      </c>
      <c r="B106" s="3489"/>
      <c r="C106" s="1153" t="s">
        <v>1595</v>
      </c>
      <c r="D106" s="1067" t="s">
        <v>1596</v>
      </c>
      <c r="E106" s="1138">
        <v>0.2</v>
      </c>
      <c r="F106" s="1153">
        <v>30</v>
      </c>
    </row>
    <row r="107" spans="1:6" s="1104" customFormat="1" ht="36">
      <c r="A107" s="1153">
        <v>47</v>
      </c>
      <c r="B107" s="3489" t="s">
        <v>1597</v>
      </c>
      <c r="C107" s="1153" t="s">
        <v>1598</v>
      </c>
      <c r="D107" s="1067" t="s">
        <v>1599</v>
      </c>
      <c r="E107" s="1138">
        <v>0.3</v>
      </c>
      <c r="F107" s="1153">
        <v>50</v>
      </c>
    </row>
    <row r="108" spans="1:6" s="1104" customFormat="1" ht="36">
      <c r="A108" s="1153">
        <v>48</v>
      </c>
      <c r="B108" s="3489"/>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36">
      <c r="A110" s="1153">
        <v>50</v>
      </c>
      <c r="B110" s="1153" t="s">
        <v>1605</v>
      </c>
      <c r="C110" s="1153" t="s">
        <v>1606</v>
      </c>
      <c r="D110" s="1067" t="s">
        <v>1607</v>
      </c>
      <c r="E110" s="1138">
        <v>0.2</v>
      </c>
      <c r="F110" s="1153">
        <v>30</v>
      </c>
    </row>
    <row r="111" spans="1:6" s="1104" customFormat="1" ht="36">
      <c r="A111" s="1153">
        <v>51</v>
      </c>
      <c r="B111" s="3489" t="s">
        <v>1608</v>
      </c>
      <c r="C111" s="1153" t="s">
        <v>1609</v>
      </c>
      <c r="D111" s="1067" t="s">
        <v>1610</v>
      </c>
      <c r="E111" s="1138">
        <v>0.2</v>
      </c>
      <c r="F111" s="1153">
        <v>30</v>
      </c>
    </row>
    <row r="112" spans="1:6" s="1104" customFormat="1" ht="24">
      <c r="A112" s="1153">
        <v>52</v>
      </c>
      <c r="B112" s="3489"/>
      <c r="C112" s="1153" t="s">
        <v>1611</v>
      </c>
      <c r="D112" s="1067" t="s">
        <v>1612</v>
      </c>
      <c r="E112" s="1138">
        <v>0.2</v>
      </c>
      <c r="F112" s="1153">
        <v>30</v>
      </c>
    </row>
    <row r="113" spans="1:14" s="1104" customFormat="1" ht="24">
      <c r="A113" s="1153">
        <v>53</v>
      </c>
      <c r="B113" s="3489"/>
      <c r="C113" s="1153" t="s">
        <v>1613</v>
      </c>
      <c r="D113" s="1067" t="s">
        <v>1614</v>
      </c>
      <c r="E113" s="1138">
        <v>0.2</v>
      </c>
      <c r="F113" s="1153">
        <v>30</v>
      </c>
    </row>
    <row r="114" spans="1:14" ht="36">
      <c r="A114" s="1153">
        <v>54</v>
      </c>
      <c r="B114" s="1153" t="s">
        <v>1615</v>
      </c>
      <c r="C114" s="1153" t="s">
        <v>1616</v>
      </c>
      <c r="D114" s="1067" t="s">
        <v>1617</v>
      </c>
      <c r="E114" s="1138">
        <v>0.2</v>
      </c>
      <c r="F114" s="1153">
        <v>30</v>
      </c>
    </row>
    <row r="115" spans="1:14" ht="24">
      <c r="A115" s="1153">
        <v>55</v>
      </c>
      <c r="B115" s="1153" t="s">
        <v>1618</v>
      </c>
      <c r="C115" s="1153" t="s">
        <v>1619</v>
      </c>
      <c r="D115" s="1067" t="s">
        <v>1620</v>
      </c>
      <c r="E115" s="1138">
        <v>0.2</v>
      </c>
      <c r="F115" s="1153">
        <v>30</v>
      </c>
    </row>
    <row r="116" spans="1:14" ht="24">
      <c r="A116" s="1153">
        <v>56</v>
      </c>
      <c r="B116" s="3489" t="s">
        <v>1621</v>
      </c>
      <c r="C116" s="1153" t="s">
        <v>1622</v>
      </c>
      <c r="D116" s="1067" t="s">
        <v>1623</v>
      </c>
      <c r="E116" s="1138">
        <v>0.2</v>
      </c>
      <c r="F116" s="1153">
        <v>30</v>
      </c>
    </row>
    <row r="117" spans="1:14" ht="36">
      <c r="A117" s="1153">
        <v>57</v>
      </c>
      <c r="B117" s="3489"/>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3.5">
      <c r="A119" s="1153"/>
      <c r="B119" s="1153"/>
      <c r="C119" s="1153"/>
      <c r="D119" s="1153"/>
      <c r="E119" s="1138"/>
      <c r="F119" s="1153"/>
    </row>
    <row r="121" spans="1:14" ht="19.5" customHeight="1">
      <c r="A121" s="3488" t="s">
        <v>1630</v>
      </c>
      <c r="B121" s="3488"/>
      <c r="C121" s="3488"/>
      <c r="D121" s="3488"/>
      <c r="E121" s="3488"/>
      <c r="F121" s="3488"/>
      <c r="G121" s="3488"/>
      <c r="H121" s="3488"/>
      <c r="I121" s="3488"/>
      <c r="J121" s="3488"/>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93" t="s">
        <v>1036</v>
      </c>
      <c r="B1" s="3493"/>
      <c r="C1" s="3493"/>
      <c r="D1" s="3493"/>
      <c r="E1" s="3493"/>
      <c r="F1" s="3493"/>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4.25" thickBot="1">
      <c r="A2" s="3494" t="s">
        <v>1049</v>
      </c>
      <c r="B2" s="3494"/>
      <c r="C2" s="3494"/>
      <c r="D2" s="3494"/>
      <c r="E2" s="3494"/>
      <c r="F2" s="3494"/>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95"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96"/>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900</v>
      </c>
      <c r="B103" s="1009"/>
      <c r="C103" s="1009"/>
      <c r="D103" s="1009"/>
      <c r="E103" s="1009"/>
      <c r="F103" s="1009"/>
      <c r="G103" s="1009"/>
      <c r="H103" s="1009"/>
      <c r="I103" s="1009"/>
      <c r="J103" s="1009"/>
      <c r="K103" s="1009"/>
      <c r="L103" s="1009"/>
      <c r="M103" s="1009"/>
      <c r="N103" s="1009"/>
    </row>
    <row r="104" spans="1:14" ht="14.25">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97" t="s">
        <v>2078</v>
      </c>
      <c r="B1" s="3497"/>
    </row>
    <row r="2" spans="1:6" ht="14.25" thickBot="1">
      <c r="A2" s="1849"/>
      <c r="B2" s="1849"/>
    </row>
    <row r="3" spans="1:6" ht="14.25" thickBot="1">
      <c r="A3" s="1849"/>
      <c r="B3" s="1849"/>
      <c r="C3" s="1850" t="s">
        <v>2079</v>
      </c>
      <c r="D3" s="1850" t="s">
        <v>2080</v>
      </c>
      <c r="E3" s="1850" t="s">
        <v>2081</v>
      </c>
      <c r="F3" s="1850" t="s">
        <v>2082</v>
      </c>
    </row>
    <row r="4" spans="1:6" ht="14.25" thickBot="1">
      <c r="A4" s="1851" t="s">
        <v>2083</v>
      </c>
      <c r="B4" s="1852" t="s">
        <v>2084</v>
      </c>
      <c r="C4" s="1850"/>
      <c r="D4" s="1850"/>
      <c r="E4" s="1850"/>
      <c r="F4" s="1850"/>
    </row>
    <row r="5" spans="1:6" ht="14.25" thickBot="1">
      <c r="A5" s="1853" t="s">
        <v>2085</v>
      </c>
      <c r="B5" s="1854" t="s">
        <v>2086</v>
      </c>
      <c r="C5" s="1855">
        <v>8.8999999999999996E-2</v>
      </c>
      <c r="D5" s="1855">
        <v>7.3999999999999996E-2</v>
      </c>
      <c r="E5" s="1855">
        <v>7.4999999999999997E-2</v>
      </c>
      <c r="F5" s="1856">
        <v>0.1</v>
      </c>
    </row>
    <row r="6" spans="1:6" ht="14.25" thickBot="1">
      <c r="A6" s="1853" t="s">
        <v>1093</v>
      </c>
      <c r="B6" s="1857" t="s">
        <v>2087</v>
      </c>
      <c r="C6" s="1858">
        <v>0.1</v>
      </c>
      <c r="D6" s="1858">
        <v>9.0999999999999998E-2</v>
      </c>
      <c r="E6" s="1858">
        <v>9.0999999999999998E-2</v>
      </c>
      <c r="F6" s="1859">
        <v>0.1</v>
      </c>
    </row>
    <row r="7" spans="1:6" ht="14.25" thickBot="1">
      <c r="A7" s="1853" t="s">
        <v>1093</v>
      </c>
      <c r="B7" s="1860" t="s">
        <v>1081</v>
      </c>
      <c r="C7" s="1858">
        <v>8.5999999999999993E-2</v>
      </c>
      <c r="D7" s="1858">
        <v>9.6000000000000002E-2</v>
      </c>
      <c r="E7" s="1858">
        <v>7.5999999999999998E-2</v>
      </c>
      <c r="F7" s="1859">
        <v>0.1</v>
      </c>
    </row>
    <row r="8" spans="1:6" ht="14.25" thickBot="1">
      <c r="A8" s="1853" t="s">
        <v>1093</v>
      </c>
      <c r="B8" s="1857" t="s">
        <v>1094</v>
      </c>
      <c r="C8" s="1858">
        <v>9.9000000000000005E-2</v>
      </c>
      <c r="D8" s="1858">
        <v>9.8000000000000004E-2</v>
      </c>
      <c r="E8" s="1858">
        <v>9.8000000000000004E-2</v>
      </c>
      <c r="F8" s="1859">
        <v>0.1</v>
      </c>
    </row>
    <row r="9" spans="1:6" ht="14.25" thickBot="1">
      <c r="A9" s="1861" t="s">
        <v>1093</v>
      </c>
      <c r="B9" s="1862" t="s">
        <v>1108</v>
      </c>
      <c r="C9" s="1863">
        <v>0.05</v>
      </c>
      <c r="D9" s="1864"/>
      <c r="E9" s="1864"/>
      <c r="F9" s="1865"/>
    </row>
    <row r="10" spans="1:6" ht="14.25" thickBot="1">
      <c r="A10" s="1853" t="s">
        <v>1152</v>
      </c>
      <c r="B10" s="1854" t="s">
        <v>2088</v>
      </c>
      <c r="C10" s="1855">
        <v>8.8999999999999996E-2</v>
      </c>
      <c r="D10" s="1855">
        <v>7.2999999999999995E-2</v>
      </c>
      <c r="E10" s="1855">
        <v>8.2000000000000003E-2</v>
      </c>
      <c r="F10" s="1856">
        <v>0.1</v>
      </c>
    </row>
    <row r="11" spans="1:6" ht="14.25" thickBot="1">
      <c r="A11" s="1853" t="s">
        <v>1152</v>
      </c>
      <c r="B11" s="1860" t="s">
        <v>1068</v>
      </c>
      <c r="C11" s="1858">
        <v>8.8999999999999996E-2</v>
      </c>
      <c r="D11" s="1858">
        <v>7.2999999999999995E-2</v>
      </c>
      <c r="E11" s="1858">
        <v>8.2000000000000003E-2</v>
      </c>
      <c r="F11" s="1859">
        <v>0.1</v>
      </c>
    </row>
    <row r="12" spans="1:6" ht="14.25" thickBot="1">
      <c r="A12" s="1853" t="s">
        <v>1152</v>
      </c>
      <c r="B12" s="1860" t="s">
        <v>1082</v>
      </c>
      <c r="C12" s="1858">
        <v>6.0999999999999999E-2</v>
      </c>
      <c r="D12" s="1858">
        <v>7.0999999999999994E-2</v>
      </c>
      <c r="E12" s="1858">
        <v>9.6000000000000002E-2</v>
      </c>
      <c r="F12" s="1859">
        <v>0.1</v>
      </c>
    </row>
    <row r="13" spans="1:6" ht="14.25" thickBot="1">
      <c r="A13" s="1853" t="s">
        <v>1152</v>
      </c>
      <c r="B13" s="1860" t="s">
        <v>1095</v>
      </c>
      <c r="C13" s="1858">
        <v>6.9000000000000006E-2</v>
      </c>
      <c r="D13" s="1858">
        <v>6.5000000000000002E-2</v>
      </c>
      <c r="E13" s="1858">
        <v>6.6000000000000003E-2</v>
      </c>
      <c r="F13" s="1859">
        <v>0.1</v>
      </c>
    </row>
    <row r="14" spans="1:6" ht="14.25" thickBot="1">
      <c r="A14" s="1853" t="s">
        <v>1152</v>
      </c>
      <c r="B14" s="1860" t="s">
        <v>1109</v>
      </c>
      <c r="C14" s="1858">
        <v>0.1</v>
      </c>
      <c r="D14" s="1858">
        <v>6.5000000000000002E-2</v>
      </c>
      <c r="E14" s="1858">
        <v>7.0000000000000007E-2</v>
      </c>
      <c r="F14" s="1859">
        <v>0.1</v>
      </c>
    </row>
    <row r="15" spans="1:6" ht="14.25" thickBot="1">
      <c r="A15" s="1853" t="s">
        <v>1152</v>
      </c>
      <c r="B15" s="1860" t="s">
        <v>1120</v>
      </c>
      <c r="C15" s="1858">
        <v>9.8000000000000004E-2</v>
      </c>
      <c r="D15" s="1858">
        <v>8.8999999999999996E-2</v>
      </c>
      <c r="E15" s="1858">
        <v>8.8999999999999996E-2</v>
      </c>
      <c r="F15" s="1859">
        <v>0.1</v>
      </c>
    </row>
    <row r="16" spans="1:6" ht="14.25" thickBot="1">
      <c r="A16" s="1853" t="s">
        <v>1152</v>
      </c>
      <c r="B16" s="1860" t="s">
        <v>1131</v>
      </c>
      <c r="C16" s="1858">
        <v>7.0000000000000007E-2</v>
      </c>
      <c r="D16" s="1858">
        <v>9.2999999999999999E-2</v>
      </c>
      <c r="E16" s="1858">
        <v>9.6000000000000002E-2</v>
      </c>
      <c r="F16" s="1859">
        <v>0.1</v>
      </c>
    </row>
    <row r="17" spans="1:6" ht="14.25" thickBot="1">
      <c r="A17" s="1853" t="s">
        <v>1152</v>
      </c>
      <c r="B17" s="1860" t="s">
        <v>1142</v>
      </c>
      <c r="C17" s="1858">
        <v>9.5000000000000001E-2</v>
      </c>
      <c r="D17" s="1858">
        <v>0.1</v>
      </c>
      <c r="E17" s="1858">
        <v>0.1</v>
      </c>
      <c r="F17" s="1866"/>
    </row>
    <row r="18" spans="1:6" ht="14.25" thickBot="1">
      <c r="A18" s="1853" t="s">
        <v>1152</v>
      </c>
      <c r="B18" s="1860" t="s">
        <v>1154</v>
      </c>
      <c r="C18" s="1858">
        <v>7.3999999999999996E-2</v>
      </c>
      <c r="D18" s="1858">
        <v>9.9000000000000005E-2</v>
      </c>
      <c r="E18" s="1858">
        <v>0.1</v>
      </c>
      <c r="F18" s="1866"/>
    </row>
    <row r="19" spans="1:6" ht="14.25" thickBot="1">
      <c r="A19" s="1853" t="s">
        <v>1152</v>
      </c>
      <c r="B19" s="1860" t="s">
        <v>1164</v>
      </c>
      <c r="C19" s="1858">
        <v>9.9000000000000005E-2</v>
      </c>
      <c r="D19" s="1858">
        <v>7.5999999999999998E-2</v>
      </c>
      <c r="E19" s="1858">
        <v>8.6999999999999994E-2</v>
      </c>
      <c r="F19" s="1866"/>
    </row>
    <row r="20" spans="1:6" ht="14.25" thickBot="1">
      <c r="A20" s="1853" t="s">
        <v>1152</v>
      </c>
      <c r="B20" s="1860" t="s">
        <v>1174</v>
      </c>
      <c r="C20" s="1858">
        <v>9.8000000000000004E-2</v>
      </c>
      <c r="D20" s="1858">
        <v>8.5000000000000006E-2</v>
      </c>
      <c r="E20" s="1858">
        <v>8.2000000000000003E-2</v>
      </c>
      <c r="F20" s="1866"/>
    </row>
    <row r="21" spans="1:6" ht="14.25" thickBot="1">
      <c r="A21" s="1853" t="s">
        <v>1152</v>
      </c>
      <c r="B21" s="1860" t="s">
        <v>1184</v>
      </c>
      <c r="C21" s="1858">
        <v>6.6000000000000003E-2</v>
      </c>
      <c r="D21" s="1858">
        <v>6.4000000000000001E-2</v>
      </c>
      <c r="E21" s="1858">
        <v>6.5000000000000002E-2</v>
      </c>
      <c r="F21" s="1866"/>
    </row>
    <row r="22" spans="1:6" ht="14.25" thickBot="1">
      <c r="A22" s="1853" t="s">
        <v>1152</v>
      </c>
      <c r="B22" s="1860" t="s">
        <v>2089</v>
      </c>
      <c r="C22" s="1858">
        <v>0.08</v>
      </c>
      <c r="D22" s="1858">
        <v>9.8000000000000004E-2</v>
      </c>
      <c r="E22" s="1858">
        <v>9.8000000000000004E-2</v>
      </c>
      <c r="F22" s="1866"/>
    </row>
    <row r="23" spans="1:6" ht="14.25" thickBot="1">
      <c r="A23" s="1853" t="s">
        <v>1152</v>
      </c>
      <c r="B23" s="1860" t="s">
        <v>1204</v>
      </c>
      <c r="C23" s="1858">
        <v>9.9000000000000005E-2</v>
      </c>
      <c r="D23" s="1858">
        <v>9.8000000000000004E-2</v>
      </c>
      <c r="E23" s="1858">
        <v>9.0999999999999998E-2</v>
      </c>
      <c r="F23" s="1866"/>
    </row>
    <row r="24" spans="1:6" ht="14.25" thickBot="1">
      <c r="A24" s="1853" t="s">
        <v>1152</v>
      </c>
      <c r="B24" s="1860" t="s">
        <v>1214</v>
      </c>
      <c r="C24" s="1858">
        <v>8.8999999999999996E-2</v>
      </c>
      <c r="D24" s="1858">
        <v>9.7000000000000003E-2</v>
      </c>
      <c r="E24" s="1858">
        <v>7.0000000000000007E-2</v>
      </c>
      <c r="F24" s="1866"/>
    </row>
    <row r="25" spans="1:6" ht="14.25" thickBot="1">
      <c r="A25" s="1853" t="s">
        <v>1152</v>
      </c>
      <c r="B25" s="1860" t="s">
        <v>1224</v>
      </c>
      <c r="C25" s="1858">
        <v>8.8999999999999996E-2</v>
      </c>
      <c r="D25" s="1858">
        <v>0.1</v>
      </c>
      <c r="E25" s="1858">
        <v>8.1000000000000003E-2</v>
      </c>
      <c r="F25" s="1866"/>
    </row>
    <row r="26" spans="1:6" ht="14.25" thickBot="1">
      <c r="A26" s="1853" t="s">
        <v>1152</v>
      </c>
      <c r="B26" s="1860" t="s">
        <v>1234</v>
      </c>
      <c r="C26" s="1867"/>
      <c r="D26" s="1858">
        <v>9.6000000000000002E-2</v>
      </c>
      <c r="E26" s="1858">
        <v>9.2999999999999999E-2</v>
      </c>
      <c r="F26" s="1866"/>
    </row>
    <row r="27" spans="1:6" ht="14.25" thickBot="1">
      <c r="A27" s="1853" t="s">
        <v>1152</v>
      </c>
      <c r="B27" s="1860" t="s">
        <v>1244</v>
      </c>
      <c r="C27" s="1867"/>
      <c r="D27" s="1858">
        <v>7.5999999999999998E-2</v>
      </c>
      <c r="E27" s="1858">
        <v>9.1999999999999998E-2</v>
      </c>
      <c r="F27" s="1866"/>
    </row>
    <row r="28" spans="1:6" ht="14.25" thickBot="1">
      <c r="A28" s="1861" t="s">
        <v>1152</v>
      </c>
      <c r="B28" s="1862" t="s">
        <v>1254</v>
      </c>
      <c r="C28" s="1864"/>
      <c r="D28" s="1863">
        <v>7.5999999999999998E-2</v>
      </c>
      <c r="E28" s="1863">
        <v>9.1999999999999998E-2</v>
      </c>
      <c r="F28" s="1865"/>
    </row>
    <row r="29" spans="1:6" ht="14.25" thickBot="1">
      <c r="A29" s="1853" t="s">
        <v>1323</v>
      </c>
      <c r="B29" s="1854" t="s">
        <v>2090</v>
      </c>
      <c r="C29" s="1855">
        <v>6.4000000000000001E-2</v>
      </c>
      <c r="D29" s="1855">
        <v>6.5000000000000002E-2</v>
      </c>
      <c r="E29" s="1855">
        <v>6.9000000000000006E-2</v>
      </c>
      <c r="F29" s="1856">
        <v>0.1</v>
      </c>
    </row>
    <row r="30" spans="1:6" ht="14.25" thickBot="1">
      <c r="A30" s="1853" t="s">
        <v>1323</v>
      </c>
      <c r="B30" s="1860" t="s">
        <v>1069</v>
      </c>
      <c r="C30" s="1858">
        <v>6.4000000000000001E-2</v>
      </c>
      <c r="D30" s="1858">
        <v>9.9000000000000005E-2</v>
      </c>
      <c r="E30" s="1858">
        <v>0.1</v>
      </c>
      <c r="F30" s="1859">
        <v>0.1</v>
      </c>
    </row>
    <row r="31" spans="1:6" ht="14.25" thickBot="1">
      <c r="A31" s="1853" t="s">
        <v>1323</v>
      </c>
      <c r="B31" s="1860" t="s">
        <v>1083</v>
      </c>
      <c r="C31" s="1858">
        <v>0.1</v>
      </c>
      <c r="D31" s="1858">
        <v>9.5000000000000001E-2</v>
      </c>
      <c r="E31" s="1858">
        <v>8.8999999999999996E-2</v>
      </c>
      <c r="F31" s="1859">
        <v>0.1</v>
      </c>
    </row>
    <row r="32" spans="1:6" ht="14.25" thickBot="1">
      <c r="A32" s="1853" t="s">
        <v>1323</v>
      </c>
      <c r="B32" s="1860" t="s">
        <v>1096</v>
      </c>
      <c r="C32" s="1858">
        <v>0.05</v>
      </c>
      <c r="D32" s="1858">
        <v>0.05</v>
      </c>
      <c r="E32" s="1858">
        <v>8.7999999999999995E-2</v>
      </c>
      <c r="F32" s="1859">
        <v>0.1</v>
      </c>
    </row>
    <row r="33" spans="1:6" ht="14.25" thickBot="1">
      <c r="A33" s="1853" t="s">
        <v>1323</v>
      </c>
      <c r="B33" s="1860" t="s">
        <v>1110</v>
      </c>
      <c r="C33" s="1858">
        <v>7.4999999999999997E-2</v>
      </c>
      <c r="D33" s="1858">
        <v>9.4E-2</v>
      </c>
      <c r="E33" s="1858">
        <v>9.7000000000000003E-2</v>
      </c>
      <c r="F33" s="1859">
        <v>0.1</v>
      </c>
    </row>
    <row r="34" spans="1:6" ht="14.25" thickBot="1">
      <c r="A34" s="1853" t="s">
        <v>1323</v>
      </c>
      <c r="B34" s="1860" t="s">
        <v>1121</v>
      </c>
      <c r="C34" s="1858">
        <v>9.8000000000000004E-2</v>
      </c>
      <c r="D34" s="1858">
        <v>8.5999999999999993E-2</v>
      </c>
      <c r="E34" s="1858">
        <v>9.7000000000000003E-2</v>
      </c>
      <c r="F34" s="1859">
        <v>0.1</v>
      </c>
    </row>
    <row r="35" spans="1:6" ht="14.25" thickBot="1">
      <c r="A35" s="1853" t="s">
        <v>1323</v>
      </c>
      <c r="B35" s="1860" t="s">
        <v>1132</v>
      </c>
      <c r="C35" s="1858">
        <v>5.8999999999999997E-2</v>
      </c>
      <c r="D35" s="1858">
        <v>6.5000000000000002E-2</v>
      </c>
      <c r="E35" s="1858">
        <v>7.0000000000000007E-2</v>
      </c>
      <c r="F35" s="1859">
        <v>0.1</v>
      </c>
    </row>
    <row r="36" spans="1:6" ht="14.25" thickBot="1">
      <c r="A36" s="1853" t="s">
        <v>1323</v>
      </c>
      <c r="B36" s="1860" t="s">
        <v>1143</v>
      </c>
      <c r="C36" s="1858">
        <v>6.3E-2</v>
      </c>
      <c r="D36" s="1858">
        <v>0.1</v>
      </c>
      <c r="E36" s="1858">
        <v>0.1</v>
      </c>
      <c r="F36" s="1859">
        <v>0.1</v>
      </c>
    </row>
    <row r="37" spans="1:6" ht="14.25" thickBot="1">
      <c r="A37" s="1853" t="s">
        <v>1323</v>
      </c>
      <c r="B37" s="1860" t="s">
        <v>1155</v>
      </c>
      <c r="C37" s="1858">
        <v>7.3999999999999996E-2</v>
      </c>
      <c r="D37" s="1858">
        <v>0.1</v>
      </c>
      <c r="E37" s="1858">
        <v>0.1</v>
      </c>
      <c r="F37" s="1859">
        <v>0.1</v>
      </c>
    </row>
    <row r="38" spans="1:6" ht="14.25" thickBot="1">
      <c r="A38" s="1853" t="s">
        <v>1323</v>
      </c>
      <c r="B38" s="1860" t="s">
        <v>1165</v>
      </c>
      <c r="C38" s="1858">
        <v>0.1</v>
      </c>
      <c r="D38" s="1858">
        <v>9.6000000000000002E-2</v>
      </c>
      <c r="E38" s="1858">
        <v>9.6000000000000002E-2</v>
      </c>
      <c r="F38" s="1866"/>
    </row>
    <row r="39" spans="1:6" ht="14.25" thickBot="1">
      <c r="A39" s="1853" t="s">
        <v>1323</v>
      </c>
      <c r="B39" s="1860" t="s">
        <v>1175</v>
      </c>
      <c r="C39" s="1858">
        <v>0.1</v>
      </c>
      <c r="D39" s="1858">
        <v>9.6000000000000002E-2</v>
      </c>
      <c r="E39" s="1858">
        <v>9.6000000000000002E-2</v>
      </c>
      <c r="F39" s="1866"/>
    </row>
    <row r="40" spans="1:6" ht="14.25" thickBot="1">
      <c r="A40" s="1853" t="s">
        <v>1323</v>
      </c>
      <c r="B40" s="1860" t="s">
        <v>1185</v>
      </c>
      <c r="C40" s="1858">
        <v>9.6000000000000002E-2</v>
      </c>
      <c r="D40" s="1858">
        <v>0.1</v>
      </c>
      <c r="E40" s="1858">
        <v>9.9000000000000005E-2</v>
      </c>
      <c r="F40" s="1866"/>
    </row>
    <row r="41" spans="1:6" ht="14.25" thickBot="1">
      <c r="A41" s="1853" t="s">
        <v>1323</v>
      </c>
      <c r="B41" s="1860" t="s">
        <v>1195</v>
      </c>
      <c r="C41" s="1858">
        <v>9.6000000000000002E-2</v>
      </c>
      <c r="D41" s="1858">
        <v>9.8000000000000004E-2</v>
      </c>
      <c r="E41" s="1858">
        <v>9.8000000000000004E-2</v>
      </c>
      <c r="F41" s="1866"/>
    </row>
    <row r="42" spans="1:6" ht="14.25" thickBot="1">
      <c r="A42" s="1853" t="s">
        <v>1323</v>
      </c>
      <c r="B42" s="1860" t="s">
        <v>1205</v>
      </c>
      <c r="C42" s="1858">
        <v>0.1</v>
      </c>
      <c r="D42" s="1858">
        <v>8.7999999999999995E-2</v>
      </c>
      <c r="E42" s="1858">
        <v>0.1</v>
      </c>
      <c r="F42" s="1866"/>
    </row>
    <row r="43" spans="1:6" ht="14.25" thickBot="1">
      <c r="A43" s="1853" t="s">
        <v>1323</v>
      </c>
      <c r="B43" s="1860" t="s">
        <v>1215</v>
      </c>
      <c r="C43" s="1858">
        <v>9.8000000000000004E-2</v>
      </c>
      <c r="D43" s="1858">
        <v>9.7000000000000003E-2</v>
      </c>
      <c r="E43" s="1858">
        <v>9.6000000000000002E-2</v>
      </c>
      <c r="F43" s="1866"/>
    </row>
    <row r="44" spans="1:6" ht="14.25" thickBot="1">
      <c r="A44" s="1853" t="s">
        <v>1323</v>
      </c>
      <c r="B44" s="1860" t="s">
        <v>1225</v>
      </c>
      <c r="C44" s="1858">
        <v>8.5999999999999993E-2</v>
      </c>
      <c r="D44" s="1858">
        <v>7.9000000000000001E-2</v>
      </c>
      <c r="E44" s="1858">
        <v>7.0999999999999994E-2</v>
      </c>
      <c r="F44" s="1866"/>
    </row>
    <row r="45" spans="1:6" ht="14.25" thickBot="1">
      <c r="A45" s="1853" t="s">
        <v>1323</v>
      </c>
      <c r="B45" s="1860" t="s">
        <v>1235</v>
      </c>
      <c r="C45" s="1858">
        <v>9.8000000000000004E-2</v>
      </c>
      <c r="D45" s="1858">
        <v>9.6000000000000002E-2</v>
      </c>
      <c r="E45" s="1858">
        <v>9.6000000000000002E-2</v>
      </c>
      <c r="F45" s="1866"/>
    </row>
    <row r="46" spans="1:6" ht="14.25" thickBot="1">
      <c r="A46" s="1853" t="s">
        <v>1323</v>
      </c>
      <c r="B46" s="1860" t="s">
        <v>1245</v>
      </c>
      <c r="C46" s="1858">
        <v>8.5999999999999993E-2</v>
      </c>
      <c r="D46" s="1858">
        <v>9.8000000000000004E-2</v>
      </c>
      <c r="E46" s="1858">
        <v>8.7999999999999995E-2</v>
      </c>
      <c r="F46" s="1866"/>
    </row>
    <row r="47" spans="1:6" ht="14.25" thickBot="1">
      <c r="A47" s="1853" t="s">
        <v>1323</v>
      </c>
      <c r="B47" s="1860" t="s">
        <v>1255</v>
      </c>
      <c r="C47" s="1858">
        <v>9.6000000000000002E-2</v>
      </c>
      <c r="D47" s="1867"/>
      <c r="E47" s="1858">
        <v>6.9000000000000006E-2</v>
      </c>
      <c r="F47" s="1866"/>
    </row>
    <row r="48" spans="1:6" ht="14.25" thickBot="1">
      <c r="A48" s="1861" t="s">
        <v>1323</v>
      </c>
      <c r="B48" s="1862" t="s">
        <v>1264</v>
      </c>
      <c r="C48" s="1863">
        <v>9.8000000000000004E-2</v>
      </c>
      <c r="D48" s="1864"/>
      <c r="E48" s="1863">
        <v>9.5000000000000001E-2</v>
      </c>
      <c r="F48" s="1865"/>
    </row>
    <row r="49" spans="1:6" ht="14.25" thickBot="1">
      <c r="A49" s="1853" t="s">
        <v>921</v>
      </c>
      <c r="B49" s="1854" t="s">
        <v>2091</v>
      </c>
      <c r="C49" s="1855">
        <v>9.7000000000000003E-2</v>
      </c>
      <c r="D49" s="1855">
        <v>9.5000000000000001E-2</v>
      </c>
      <c r="E49" s="1855">
        <v>9.7000000000000003E-2</v>
      </c>
      <c r="F49" s="1856">
        <v>0.1</v>
      </c>
    </row>
    <row r="50" spans="1:6" ht="14.25" thickBot="1">
      <c r="A50" s="1853" t="s">
        <v>921</v>
      </c>
      <c r="B50" s="1857" t="s">
        <v>1070</v>
      </c>
      <c r="C50" s="1858">
        <v>7.4999999999999997E-2</v>
      </c>
      <c r="D50" s="1858">
        <v>9.5000000000000001E-2</v>
      </c>
      <c r="E50" s="1858">
        <v>0.1</v>
      </c>
      <c r="F50" s="1859">
        <v>0.1</v>
      </c>
    </row>
    <row r="51" spans="1:6" ht="14.25" thickBot="1">
      <c r="A51" s="1853" t="s">
        <v>921</v>
      </c>
      <c r="B51" s="1857" t="s">
        <v>1084</v>
      </c>
      <c r="C51" s="1858">
        <v>9.8000000000000004E-2</v>
      </c>
      <c r="D51" s="1858">
        <v>8.8999999999999996E-2</v>
      </c>
      <c r="E51" s="1858">
        <v>0.1</v>
      </c>
      <c r="F51" s="1859">
        <v>0.1</v>
      </c>
    </row>
    <row r="52" spans="1:6" ht="14.25" thickBot="1">
      <c r="A52" s="1853" t="s">
        <v>921</v>
      </c>
      <c r="B52" s="1857" t="s">
        <v>1097</v>
      </c>
      <c r="C52" s="1858">
        <v>9.8000000000000004E-2</v>
      </c>
      <c r="D52" s="1858">
        <v>9.7000000000000003E-2</v>
      </c>
      <c r="E52" s="1858">
        <v>8.1000000000000003E-2</v>
      </c>
      <c r="F52" s="1859">
        <v>0.1</v>
      </c>
    </row>
    <row r="53" spans="1:6" ht="14.25" thickBot="1">
      <c r="A53" s="1853" t="s">
        <v>921</v>
      </c>
      <c r="B53" s="1857" t="s">
        <v>1111</v>
      </c>
      <c r="C53" s="1858">
        <v>9.7000000000000003E-2</v>
      </c>
      <c r="D53" s="1858">
        <v>7.5999999999999998E-2</v>
      </c>
      <c r="E53" s="1858">
        <v>7.0999999999999994E-2</v>
      </c>
      <c r="F53" s="1859">
        <v>0.1</v>
      </c>
    </row>
    <row r="54" spans="1:6" ht="14.25" thickBot="1">
      <c r="A54" s="1853" t="s">
        <v>921</v>
      </c>
      <c r="B54" s="1857" t="s">
        <v>1122</v>
      </c>
      <c r="C54" s="1858">
        <v>7.5999999999999998E-2</v>
      </c>
      <c r="D54" s="1858">
        <v>0.1</v>
      </c>
      <c r="E54" s="1858">
        <v>9.9000000000000005E-2</v>
      </c>
      <c r="F54" s="1859">
        <v>0.1</v>
      </c>
    </row>
    <row r="55" spans="1:6" ht="14.25" thickBot="1">
      <c r="A55" s="1853" t="s">
        <v>921</v>
      </c>
      <c r="B55" s="1857" t="s">
        <v>1133</v>
      </c>
      <c r="C55" s="1858">
        <v>0.1</v>
      </c>
      <c r="D55" s="1858">
        <v>0.1</v>
      </c>
      <c r="E55" s="1858">
        <v>9.6000000000000002E-2</v>
      </c>
      <c r="F55" s="1859">
        <v>0.1</v>
      </c>
    </row>
    <row r="56" spans="1:6" ht="14.25" thickBot="1">
      <c r="A56" s="1853" t="s">
        <v>921</v>
      </c>
      <c r="B56" s="1857" t="s">
        <v>1144</v>
      </c>
      <c r="C56" s="1858">
        <v>0.1</v>
      </c>
      <c r="D56" s="1858">
        <v>9.6000000000000002E-2</v>
      </c>
      <c r="E56" s="1858">
        <v>5.1999999999999998E-2</v>
      </c>
      <c r="F56" s="1859">
        <v>0.1</v>
      </c>
    </row>
    <row r="57" spans="1:6" ht="14.25" thickBot="1">
      <c r="A57" s="1853" t="s">
        <v>921</v>
      </c>
      <c r="B57" s="1857" t="s">
        <v>1156</v>
      </c>
      <c r="C57" s="1858">
        <v>9.7000000000000003E-2</v>
      </c>
      <c r="D57" s="1858">
        <v>9.6000000000000002E-2</v>
      </c>
      <c r="E57" s="1858">
        <v>9.6000000000000002E-2</v>
      </c>
      <c r="F57" s="1859">
        <v>0.1</v>
      </c>
    </row>
    <row r="58" spans="1:6" ht="14.25" thickBot="1">
      <c r="A58" s="1853" t="s">
        <v>921</v>
      </c>
      <c r="B58" s="1857" t="s">
        <v>1166</v>
      </c>
      <c r="C58" s="1858">
        <v>9.6000000000000002E-2</v>
      </c>
      <c r="D58" s="1858">
        <v>9.9000000000000005E-2</v>
      </c>
      <c r="E58" s="1858">
        <v>9.6000000000000002E-2</v>
      </c>
      <c r="F58" s="1859">
        <v>0.1</v>
      </c>
    </row>
    <row r="59" spans="1:6" ht="14.25" thickBot="1">
      <c r="A59" s="1853" t="s">
        <v>921</v>
      </c>
      <c r="B59" s="1857" t="s">
        <v>1176</v>
      </c>
      <c r="C59" s="1858">
        <v>7.1999999999999995E-2</v>
      </c>
      <c r="D59" s="1858">
        <v>9.6000000000000002E-2</v>
      </c>
      <c r="E59" s="1858">
        <v>7.0999999999999994E-2</v>
      </c>
      <c r="F59" s="1859">
        <v>0.1</v>
      </c>
    </row>
    <row r="60" spans="1:6" ht="14.25" thickBot="1">
      <c r="A60" s="1853" t="s">
        <v>921</v>
      </c>
      <c r="B60" s="1857" t="s">
        <v>1186</v>
      </c>
      <c r="C60" s="1858">
        <v>9.6000000000000002E-2</v>
      </c>
      <c r="D60" s="1858">
        <v>8.8999999999999996E-2</v>
      </c>
      <c r="E60" s="1858">
        <v>9.6000000000000002E-2</v>
      </c>
      <c r="F60" s="1859">
        <v>0.1</v>
      </c>
    </row>
    <row r="61" spans="1:6" ht="14.25" thickBot="1">
      <c r="A61" s="1853" t="s">
        <v>921</v>
      </c>
      <c r="B61" s="1857" t="s">
        <v>1196</v>
      </c>
      <c r="C61" s="1858">
        <v>8.8999999999999996E-2</v>
      </c>
      <c r="D61" s="1858">
        <v>9.8000000000000004E-2</v>
      </c>
      <c r="E61" s="1858">
        <v>8.7999999999999995E-2</v>
      </c>
      <c r="F61" s="1866"/>
    </row>
    <row r="62" spans="1:6" ht="14.25" thickBot="1">
      <c r="A62" s="1853" t="s">
        <v>921</v>
      </c>
      <c r="B62" s="1857" t="s">
        <v>1206</v>
      </c>
      <c r="C62" s="1858">
        <v>9.8000000000000004E-2</v>
      </c>
      <c r="D62" s="1858">
        <v>9.2999999999999999E-2</v>
      </c>
      <c r="E62" s="1858">
        <v>9.7000000000000003E-2</v>
      </c>
      <c r="F62" s="1866"/>
    </row>
    <row r="63" spans="1:6" ht="14.25" thickBot="1">
      <c r="A63" s="1853" t="s">
        <v>921</v>
      </c>
      <c r="B63" s="1857" t="s">
        <v>1216</v>
      </c>
      <c r="C63" s="1858">
        <v>9.6000000000000002E-2</v>
      </c>
      <c r="D63" s="1858">
        <v>9.8000000000000004E-2</v>
      </c>
      <c r="E63" s="1858">
        <v>0.09</v>
      </c>
      <c r="F63" s="1866"/>
    </row>
    <row r="64" spans="1:6" ht="14.25" thickBot="1">
      <c r="A64" s="1853" t="s">
        <v>921</v>
      </c>
      <c r="B64" s="1857" t="s">
        <v>1226</v>
      </c>
      <c r="C64" s="1858">
        <v>9.9000000000000005E-2</v>
      </c>
      <c r="D64" s="1858">
        <v>9.7000000000000003E-2</v>
      </c>
      <c r="E64" s="1858">
        <v>9.9000000000000005E-2</v>
      </c>
      <c r="F64" s="1866"/>
    </row>
    <row r="65" spans="1:6" ht="14.25" thickBot="1">
      <c r="A65" s="1853" t="s">
        <v>921</v>
      </c>
      <c r="B65" s="1857" t="s">
        <v>1236</v>
      </c>
      <c r="C65" s="1858">
        <v>9.8000000000000004E-2</v>
      </c>
      <c r="D65" s="1858">
        <v>9.6000000000000002E-2</v>
      </c>
      <c r="E65" s="1858">
        <v>9.6000000000000002E-2</v>
      </c>
      <c r="F65" s="1866"/>
    </row>
    <row r="66" spans="1:6" ht="14.25" thickBot="1">
      <c r="A66" s="1853" t="s">
        <v>921</v>
      </c>
      <c r="B66" s="1857" t="s">
        <v>1246</v>
      </c>
      <c r="C66" s="1858">
        <v>9.6000000000000002E-2</v>
      </c>
      <c r="D66" s="1858">
        <v>9.1999999999999998E-2</v>
      </c>
      <c r="E66" s="1858">
        <v>9.6000000000000002E-2</v>
      </c>
      <c r="F66" s="1866"/>
    </row>
    <row r="67" spans="1:6" ht="14.25" thickBot="1">
      <c r="A67" s="1853" t="s">
        <v>921</v>
      </c>
      <c r="B67" s="1857" t="s">
        <v>1256</v>
      </c>
      <c r="C67" s="1858">
        <v>9.4E-2</v>
      </c>
      <c r="D67" s="1858">
        <v>0.1</v>
      </c>
      <c r="E67" s="1858">
        <v>8.7999999999999995E-2</v>
      </c>
      <c r="F67" s="1866"/>
    </row>
    <row r="68" spans="1:6" ht="14.25" thickBot="1">
      <c r="A68" s="1853" t="s">
        <v>921</v>
      </c>
      <c r="B68" s="1857" t="s">
        <v>1265</v>
      </c>
      <c r="C68" s="1858">
        <v>0.1</v>
      </c>
      <c r="D68" s="1858">
        <v>8.7999999999999995E-2</v>
      </c>
      <c r="E68" s="1858">
        <v>9.7000000000000003E-2</v>
      </c>
      <c r="F68" s="1866"/>
    </row>
    <row r="69" spans="1:6" ht="14.25" thickBot="1">
      <c r="A69" s="1853" t="s">
        <v>921</v>
      </c>
      <c r="B69" s="1857" t="s">
        <v>1274</v>
      </c>
      <c r="C69" s="1858">
        <v>6.4000000000000001E-2</v>
      </c>
      <c r="D69" s="1858">
        <v>0.1</v>
      </c>
      <c r="E69" s="1858">
        <v>0.1</v>
      </c>
      <c r="F69" s="1866"/>
    </row>
    <row r="70" spans="1:6" ht="14.25" thickBot="1">
      <c r="A70" s="1853" t="s">
        <v>921</v>
      </c>
      <c r="B70" s="1857" t="s">
        <v>1282</v>
      </c>
      <c r="C70" s="1858">
        <v>9.0999999999999998E-2</v>
      </c>
      <c r="D70" s="1867"/>
      <c r="E70" s="1867"/>
      <c r="F70" s="1866"/>
    </row>
    <row r="71" spans="1:6" ht="14.25" thickBot="1">
      <c r="A71" s="1853" t="s">
        <v>921</v>
      </c>
      <c r="B71" s="1857" t="s">
        <v>1289</v>
      </c>
      <c r="C71" s="1858">
        <v>0.1</v>
      </c>
      <c r="D71" s="1867"/>
      <c r="E71" s="1867"/>
      <c r="F71" s="1866"/>
    </row>
    <row r="72" spans="1:6" ht="14.25" thickBot="1">
      <c r="A72" s="1853" t="s">
        <v>921</v>
      </c>
      <c r="B72" s="1857" t="s">
        <v>2092</v>
      </c>
      <c r="C72" s="1867"/>
      <c r="D72" s="1867"/>
      <c r="E72" s="1867"/>
      <c r="F72" s="1859">
        <v>0.05</v>
      </c>
    </row>
    <row r="73" spans="1:6" ht="14.25" thickBot="1">
      <c r="A73" s="1853" t="s">
        <v>921</v>
      </c>
      <c r="B73" s="1857" t="s">
        <v>2093</v>
      </c>
      <c r="C73" s="1867"/>
      <c r="D73" s="1867"/>
      <c r="E73" s="1867"/>
      <c r="F73" s="1859">
        <v>0.05</v>
      </c>
    </row>
    <row r="74" spans="1:6" ht="14.25" thickBot="1">
      <c r="A74" s="1853" t="s">
        <v>921</v>
      </c>
      <c r="B74" s="1857" t="s">
        <v>2094</v>
      </c>
      <c r="C74" s="1867"/>
      <c r="D74" s="1867"/>
      <c r="E74" s="1867"/>
      <c r="F74" s="1859">
        <v>0.05</v>
      </c>
    </row>
    <row r="75" spans="1:6" ht="14.25" thickBot="1">
      <c r="A75" s="1861" t="s">
        <v>921</v>
      </c>
      <c r="B75" s="1868" t="s">
        <v>2095</v>
      </c>
      <c r="C75" s="1864"/>
      <c r="D75" s="1864"/>
      <c r="E75" s="1864"/>
      <c r="F75" s="1869">
        <v>0.05</v>
      </c>
    </row>
    <row r="76" spans="1:6" ht="14.25" thickBot="1">
      <c r="A76" s="1853" t="s">
        <v>1404</v>
      </c>
      <c r="B76" s="1854" t="s">
        <v>2096</v>
      </c>
      <c r="C76" s="1855">
        <v>0.1</v>
      </c>
      <c r="D76" s="1855">
        <v>0.1</v>
      </c>
      <c r="E76" s="1855">
        <v>0.1</v>
      </c>
      <c r="F76" s="1856">
        <v>0.1</v>
      </c>
    </row>
    <row r="77" spans="1:6" ht="14.25" thickBot="1">
      <c r="A77" s="1853" t="s">
        <v>1404</v>
      </c>
      <c r="B77" s="1857" t="s">
        <v>1071</v>
      </c>
      <c r="C77" s="1858">
        <v>8.7999999999999995E-2</v>
      </c>
      <c r="D77" s="1858">
        <v>8.6999999999999994E-2</v>
      </c>
      <c r="E77" s="1858">
        <v>7.9000000000000001E-2</v>
      </c>
      <c r="F77" s="1859">
        <v>0.1</v>
      </c>
    </row>
    <row r="78" spans="1:6" ht="14.25" thickBot="1">
      <c r="A78" s="1853" t="s">
        <v>1404</v>
      </c>
      <c r="B78" s="1857" t="s">
        <v>1085</v>
      </c>
      <c r="C78" s="1858">
        <v>8.6999999999999994E-2</v>
      </c>
      <c r="D78" s="1858">
        <v>8.4000000000000005E-2</v>
      </c>
      <c r="E78" s="1858">
        <v>9.6000000000000002E-2</v>
      </c>
      <c r="F78" s="1859">
        <v>0.1</v>
      </c>
    </row>
    <row r="79" spans="1:6" ht="14.25" thickBot="1">
      <c r="A79" s="1853" t="s">
        <v>1404</v>
      </c>
      <c r="B79" s="1857" t="s">
        <v>1098</v>
      </c>
      <c r="C79" s="1858">
        <v>9.8000000000000004E-2</v>
      </c>
      <c r="D79" s="1858">
        <v>9.8000000000000004E-2</v>
      </c>
      <c r="E79" s="1858">
        <v>9.0999999999999998E-2</v>
      </c>
      <c r="F79" s="1859">
        <v>0.1</v>
      </c>
    </row>
    <row r="80" spans="1:6" ht="14.25" thickBot="1">
      <c r="A80" s="1853" t="s">
        <v>1404</v>
      </c>
      <c r="B80" s="1857" t="s">
        <v>1112</v>
      </c>
      <c r="C80" s="1858">
        <v>9.6000000000000002E-2</v>
      </c>
      <c r="D80" s="1858">
        <v>9.6000000000000002E-2</v>
      </c>
      <c r="E80" s="1858">
        <v>0.1</v>
      </c>
      <c r="F80" s="1859">
        <v>0.1</v>
      </c>
    </row>
    <row r="81" spans="1:6" ht="14.25" thickBot="1">
      <c r="A81" s="1853" t="s">
        <v>1404</v>
      </c>
      <c r="B81" s="1857" t="s">
        <v>1123</v>
      </c>
      <c r="C81" s="1858">
        <v>9.9000000000000005E-2</v>
      </c>
      <c r="D81" s="1858">
        <v>9.9000000000000005E-2</v>
      </c>
      <c r="E81" s="1858">
        <v>9.8000000000000004E-2</v>
      </c>
      <c r="F81" s="1859">
        <v>0.1</v>
      </c>
    </row>
    <row r="82" spans="1:6" ht="14.25" thickBot="1">
      <c r="A82" s="1853" t="s">
        <v>1404</v>
      </c>
      <c r="B82" s="1857" t="s">
        <v>1134</v>
      </c>
      <c r="C82" s="1858">
        <v>9.9000000000000005E-2</v>
      </c>
      <c r="D82" s="1858">
        <v>9.9000000000000005E-2</v>
      </c>
      <c r="E82" s="1858">
        <v>9.7000000000000003E-2</v>
      </c>
      <c r="F82" s="1859">
        <v>0.1</v>
      </c>
    </row>
    <row r="83" spans="1:6" ht="14.25" thickBot="1">
      <c r="A83" s="1853" t="s">
        <v>1404</v>
      </c>
      <c r="B83" s="1857" t="s">
        <v>1145</v>
      </c>
      <c r="C83" s="1858">
        <v>9.8000000000000004E-2</v>
      </c>
      <c r="D83" s="1858">
        <v>9.8000000000000004E-2</v>
      </c>
      <c r="E83" s="1858">
        <v>9.8000000000000004E-2</v>
      </c>
      <c r="F83" s="1859">
        <v>0.1</v>
      </c>
    </row>
    <row r="84" spans="1:6" ht="14.25" thickBot="1">
      <c r="A84" s="1853" t="s">
        <v>1404</v>
      </c>
      <c r="B84" s="1857" t="s">
        <v>1157</v>
      </c>
      <c r="C84" s="1858">
        <v>9.9000000000000005E-2</v>
      </c>
      <c r="D84" s="1858">
        <v>9.9000000000000005E-2</v>
      </c>
      <c r="E84" s="1858">
        <v>9.9000000000000005E-2</v>
      </c>
      <c r="F84" s="1859">
        <v>0.1</v>
      </c>
    </row>
    <row r="85" spans="1:6" ht="14.25" thickBot="1">
      <c r="A85" s="1853" t="s">
        <v>1404</v>
      </c>
      <c r="B85" s="1857" t="s">
        <v>1167</v>
      </c>
      <c r="C85" s="1858">
        <v>9.9000000000000005E-2</v>
      </c>
      <c r="D85" s="1858">
        <v>9.9000000000000005E-2</v>
      </c>
      <c r="E85" s="1858">
        <v>9.9000000000000005E-2</v>
      </c>
      <c r="F85" s="1859">
        <v>0.1</v>
      </c>
    </row>
    <row r="86" spans="1:6" ht="14.25" thickBot="1">
      <c r="A86" s="1853" t="s">
        <v>1404</v>
      </c>
      <c r="B86" s="1857" t="s">
        <v>1177</v>
      </c>
      <c r="C86" s="1858">
        <v>0.1</v>
      </c>
      <c r="D86" s="1858">
        <v>0.1</v>
      </c>
      <c r="E86" s="1858">
        <v>7.6999999999999999E-2</v>
      </c>
      <c r="F86" s="1859">
        <v>0.1</v>
      </c>
    </row>
    <row r="87" spans="1:6" ht="14.25" thickBot="1">
      <c r="A87" s="1853" t="s">
        <v>1404</v>
      </c>
      <c r="B87" s="1857" t="s">
        <v>1187</v>
      </c>
      <c r="C87" s="1858">
        <v>0.1</v>
      </c>
      <c r="D87" s="1858">
        <v>0.1</v>
      </c>
      <c r="E87" s="1858">
        <v>9.8000000000000004E-2</v>
      </c>
      <c r="F87" s="1866"/>
    </row>
    <row r="88" spans="1:6" ht="14.25" thickBot="1">
      <c r="A88" s="1853" t="s">
        <v>1404</v>
      </c>
      <c r="B88" s="1857" t="s">
        <v>1197</v>
      </c>
      <c r="C88" s="1858">
        <v>9.1999999999999998E-2</v>
      </c>
      <c r="D88" s="1858">
        <v>8.5000000000000006E-2</v>
      </c>
      <c r="E88" s="1858">
        <v>9.6000000000000002E-2</v>
      </c>
      <c r="F88" s="1866"/>
    </row>
    <row r="89" spans="1:6" ht="14.25" thickBot="1">
      <c r="A89" s="1853" t="s">
        <v>1404</v>
      </c>
      <c r="B89" s="1857" t="s">
        <v>1207</v>
      </c>
      <c r="C89" s="1858">
        <v>0.1</v>
      </c>
      <c r="D89" s="1858">
        <v>0.1</v>
      </c>
      <c r="E89" s="1858">
        <v>9.7000000000000003E-2</v>
      </c>
      <c r="F89" s="1866"/>
    </row>
    <row r="90" spans="1:6" ht="14.25" thickBot="1">
      <c r="A90" s="1853" t="s">
        <v>1404</v>
      </c>
      <c r="B90" s="1857" t="s">
        <v>1217</v>
      </c>
      <c r="C90" s="1858">
        <v>9.8000000000000004E-2</v>
      </c>
      <c r="D90" s="1858">
        <v>9.8000000000000004E-2</v>
      </c>
      <c r="E90" s="1858">
        <v>8.7999999999999995E-2</v>
      </c>
      <c r="F90" s="1866"/>
    </row>
    <row r="91" spans="1:6" ht="14.25" thickBot="1">
      <c r="A91" s="1853" t="s">
        <v>1404</v>
      </c>
      <c r="B91" s="1857" t="s">
        <v>1227</v>
      </c>
      <c r="C91" s="1858">
        <v>9.9000000000000005E-2</v>
      </c>
      <c r="D91" s="1858">
        <v>9.9000000000000005E-2</v>
      </c>
      <c r="E91" s="1858">
        <v>9.0999999999999998E-2</v>
      </c>
      <c r="F91" s="1866"/>
    </row>
    <row r="92" spans="1:6" ht="14.25" thickBot="1">
      <c r="A92" s="1853" t="s">
        <v>1404</v>
      </c>
      <c r="B92" s="1857" t="s">
        <v>1237</v>
      </c>
      <c r="C92" s="1858">
        <v>9.6000000000000002E-2</v>
      </c>
      <c r="D92" s="1858">
        <v>9.6000000000000002E-2</v>
      </c>
      <c r="E92" s="1858">
        <v>7.2999999999999995E-2</v>
      </c>
      <c r="F92" s="1866"/>
    </row>
    <row r="93" spans="1:6" ht="14.25" thickBot="1">
      <c r="A93" s="1853" t="s">
        <v>1404</v>
      </c>
      <c r="B93" s="1857" t="s">
        <v>1247</v>
      </c>
      <c r="C93" s="1858">
        <v>9.6000000000000002E-2</v>
      </c>
      <c r="D93" s="1858">
        <v>9.6000000000000002E-2</v>
      </c>
      <c r="E93" s="1858">
        <v>9.9000000000000005E-2</v>
      </c>
      <c r="F93" s="1866"/>
    </row>
    <row r="94" spans="1:6" ht="14.25" thickBot="1">
      <c r="A94" s="1853" t="s">
        <v>1404</v>
      </c>
      <c r="B94" s="1857" t="s">
        <v>1257</v>
      </c>
      <c r="C94" s="1858">
        <v>7.5999999999999998E-2</v>
      </c>
      <c r="D94" s="1858">
        <v>7.3999999999999996E-2</v>
      </c>
      <c r="E94" s="1858">
        <v>9.7000000000000003E-2</v>
      </c>
      <c r="F94" s="1866"/>
    </row>
    <row r="95" spans="1:6" ht="14.25" thickBot="1">
      <c r="A95" s="1853" t="s">
        <v>1404</v>
      </c>
      <c r="B95" s="1857" t="s">
        <v>1266</v>
      </c>
      <c r="C95" s="1858">
        <v>9.9000000000000005E-2</v>
      </c>
      <c r="D95" s="1858">
        <v>9.4E-2</v>
      </c>
      <c r="E95" s="1858">
        <v>9.6000000000000002E-2</v>
      </c>
      <c r="F95" s="1866"/>
    </row>
    <row r="96" spans="1:6" ht="14.25" thickBot="1">
      <c r="A96" s="1853" t="s">
        <v>1404</v>
      </c>
      <c r="B96" s="1857" t="s">
        <v>1275</v>
      </c>
      <c r="C96" s="1858">
        <v>9.9000000000000005E-2</v>
      </c>
      <c r="D96" s="1858">
        <v>9.9000000000000005E-2</v>
      </c>
      <c r="E96" s="1858">
        <v>9.9000000000000005E-2</v>
      </c>
      <c r="F96" s="1866"/>
    </row>
    <row r="97" spans="1:6" ht="14.25" thickBot="1">
      <c r="A97" s="1853" t="s">
        <v>1404</v>
      </c>
      <c r="B97" s="1857" t="s">
        <v>1283</v>
      </c>
      <c r="C97" s="1858">
        <v>9.8000000000000004E-2</v>
      </c>
      <c r="D97" s="1858">
        <v>9.8000000000000004E-2</v>
      </c>
      <c r="E97" s="1858">
        <v>9.7000000000000003E-2</v>
      </c>
      <c r="F97" s="1866"/>
    </row>
    <row r="98" spans="1:6" ht="14.25" thickBot="1">
      <c r="A98" s="1853" t="s">
        <v>1404</v>
      </c>
      <c r="B98" s="1857" t="s">
        <v>1290</v>
      </c>
      <c r="C98" s="1858">
        <v>0.1</v>
      </c>
      <c r="D98" s="1858">
        <v>0.1</v>
      </c>
      <c r="E98" s="1858">
        <v>9.7000000000000003E-2</v>
      </c>
      <c r="F98" s="1866"/>
    </row>
    <row r="99" spans="1:6" ht="14.25" thickBot="1">
      <c r="A99" s="1853" t="s">
        <v>1404</v>
      </c>
      <c r="B99" s="1857" t="s">
        <v>1297</v>
      </c>
      <c r="C99" s="1858">
        <v>0.1</v>
      </c>
      <c r="D99" s="1858">
        <v>0.1</v>
      </c>
      <c r="E99" s="1867"/>
      <c r="F99" s="1866"/>
    </row>
    <row r="100" spans="1:6" ht="14.25" thickBot="1">
      <c r="A100" s="1853" t="s">
        <v>1404</v>
      </c>
      <c r="B100" s="1857" t="s">
        <v>1304</v>
      </c>
      <c r="C100" s="1858">
        <v>0.09</v>
      </c>
      <c r="D100" s="1858">
        <v>8.8999999999999996E-2</v>
      </c>
      <c r="E100" s="1867"/>
      <c r="F100" s="1866"/>
    </row>
    <row r="101" spans="1:6" ht="14.25" thickBot="1">
      <c r="A101" s="1853" t="s">
        <v>1404</v>
      </c>
      <c r="B101" s="1857" t="s">
        <v>1311</v>
      </c>
      <c r="C101" s="1858">
        <v>9.8000000000000004E-2</v>
      </c>
      <c r="D101" s="1858">
        <v>9.7000000000000003E-2</v>
      </c>
      <c r="E101" s="1867"/>
      <c r="F101" s="1866"/>
    </row>
    <row r="102" spans="1:6" ht="14.25" thickBot="1">
      <c r="A102" s="1853" t="s">
        <v>1404</v>
      </c>
      <c r="B102" s="1857" t="s">
        <v>2097</v>
      </c>
      <c r="C102" s="1867"/>
      <c r="D102" s="1867"/>
      <c r="E102" s="1867"/>
      <c r="F102" s="1859">
        <v>0.05</v>
      </c>
    </row>
    <row r="103" spans="1:6" ht="24.75" thickBot="1">
      <c r="A103" s="1853" t="s">
        <v>1404</v>
      </c>
      <c r="B103" s="1857" t="s">
        <v>2098</v>
      </c>
      <c r="C103" s="1867"/>
      <c r="D103" s="1867"/>
      <c r="E103" s="1867"/>
      <c r="F103" s="1859">
        <v>0.05</v>
      </c>
    </row>
    <row r="104" spans="1:6" ht="14.25" thickBot="1">
      <c r="A104" s="1853" t="s">
        <v>1404</v>
      </c>
      <c r="B104" s="1857" t="s">
        <v>2099</v>
      </c>
      <c r="C104" s="1867"/>
      <c r="D104" s="1867"/>
      <c r="E104" s="1867"/>
      <c r="F104" s="1859">
        <v>0.05</v>
      </c>
    </row>
    <row r="105" spans="1:6" ht="14.25" thickBot="1">
      <c r="A105" s="1853" t="s">
        <v>1404</v>
      </c>
      <c r="B105" s="1857" t="s">
        <v>2100</v>
      </c>
      <c r="C105" s="1867"/>
      <c r="D105" s="1867"/>
      <c r="E105" s="1867"/>
      <c r="F105" s="1859">
        <v>0.05</v>
      </c>
    </row>
    <row r="106" spans="1:6" ht="14.25" thickBot="1">
      <c r="A106" s="1853" t="s">
        <v>1404</v>
      </c>
      <c r="B106" s="1857" t="s">
        <v>2101</v>
      </c>
      <c r="C106" s="1867"/>
      <c r="D106" s="1867"/>
      <c r="E106" s="1867"/>
      <c r="F106" s="1859">
        <v>0.05</v>
      </c>
    </row>
    <row r="107" spans="1:6" ht="24.75" thickBot="1">
      <c r="A107" s="1853" t="s">
        <v>1404</v>
      </c>
      <c r="B107" s="1857" t="s">
        <v>2102</v>
      </c>
      <c r="C107" s="1867"/>
      <c r="D107" s="1867"/>
      <c r="E107" s="1867"/>
      <c r="F107" s="1859">
        <v>0.05</v>
      </c>
    </row>
    <row r="108" spans="1:6" ht="24.75" thickBot="1">
      <c r="A108" s="1853" t="s">
        <v>1404</v>
      </c>
      <c r="B108" s="1857" t="s">
        <v>2103</v>
      </c>
      <c r="C108" s="1867"/>
      <c r="D108" s="1867"/>
      <c r="E108" s="1867"/>
      <c r="F108" s="1859">
        <v>0.05</v>
      </c>
    </row>
    <row r="109" spans="1:6" ht="24.75" thickBot="1">
      <c r="A109" s="1861" t="s">
        <v>1404</v>
      </c>
      <c r="B109" s="1868" t="s">
        <v>2104</v>
      </c>
      <c r="C109" s="1864"/>
      <c r="D109" s="1864"/>
      <c r="E109" s="1864"/>
      <c r="F109" s="1869">
        <v>0.05</v>
      </c>
    </row>
    <row r="110" spans="1:6" ht="14.25" thickBot="1">
      <c r="A110" s="1853" t="s">
        <v>1406</v>
      </c>
      <c r="B110" s="1854" t="s">
        <v>2105</v>
      </c>
      <c r="C110" s="1855">
        <v>0.129</v>
      </c>
      <c r="D110" s="1855">
        <v>0.129</v>
      </c>
      <c r="E110" s="1855">
        <v>0.126</v>
      </c>
      <c r="F110" s="1856">
        <v>0.13</v>
      </c>
    </row>
    <row r="111" spans="1:6" ht="14.25" thickBot="1">
      <c r="A111" s="1853" t="s">
        <v>1406</v>
      </c>
      <c r="B111" s="1857" t="s">
        <v>1072</v>
      </c>
      <c r="C111" s="1858">
        <v>0.11</v>
      </c>
      <c r="D111" s="1858">
        <v>0.11</v>
      </c>
      <c r="E111" s="1858">
        <v>9.9000000000000005E-2</v>
      </c>
      <c r="F111" s="1859">
        <v>0.128</v>
      </c>
    </row>
    <row r="112" spans="1:6" ht="14.25" thickBot="1">
      <c r="A112" s="1853" t="s">
        <v>1406</v>
      </c>
      <c r="B112" s="1857" t="s">
        <v>1086</v>
      </c>
      <c r="C112" s="1858">
        <v>0.125</v>
      </c>
      <c r="D112" s="1858">
        <v>0.125</v>
      </c>
      <c r="E112" s="1858">
        <v>0.12</v>
      </c>
      <c r="F112" s="1859">
        <v>0.125</v>
      </c>
    </row>
    <row r="113" spans="1:6" ht="14.25" thickBot="1">
      <c r="A113" s="1853" t="s">
        <v>1406</v>
      </c>
      <c r="B113" s="1857" t="s">
        <v>1099</v>
      </c>
      <c r="C113" s="1858">
        <v>0.13</v>
      </c>
      <c r="D113" s="1858">
        <v>0.13</v>
      </c>
      <c r="E113" s="1858">
        <v>0.13</v>
      </c>
      <c r="F113" s="1859">
        <v>0.13</v>
      </c>
    </row>
    <row r="114" spans="1:6" ht="14.25" thickBot="1">
      <c r="A114" s="1853" t="s">
        <v>1406</v>
      </c>
      <c r="B114" s="1857" t="s">
        <v>1113</v>
      </c>
      <c r="C114" s="1858">
        <v>0.123</v>
      </c>
      <c r="D114" s="1858">
        <v>0.123</v>
      </c>
      <c r="E114" s="1858">
        <v>0.12</v>
      </c>
      <c r="F114" s="1859">
        <v>0.13</v>
      </c>
    </row>
    <row r="115" spans="1:6" ht="14.25" thickBot="1">
      <c r="A115" s="1853" t="s">
        <v>1406</v>
      </c>
      <c r="B115" s="1857" t="s">
        <v>1124</v>
      </c>
      <c r="C115" s="1858">
        <v>0.125</v>
      </c>
      <c r="D115" s="1858">
        <v>0.125</v>
      </c>
      <c r="E115" s="1858">
        <v>0.11700000000000001</v>
      </c>
      <c r="F115" s="1859">
        <v>0.13</v>
      </c>
    </row>
    <row r="116" spans="1:6" ht="14.25" thickBot="1">
      <c r="A116" s="1853" t="s">
        <v>1406</v>
      </c>
      <c r="B116" s="1857" t="s">
        <v>1135</v>
      </c>
      <c r="C116" s="1858">
        <v>0.11700000000000001</v>
      </c>
      <c r="D116" s="1858">
        <v>0.11700000000000001</v>
      </c>
      <c r="E116" s="1858">
        <v>8.7999999999999995E-2</v>
      </c>
      <c r="F116" s="1859">
        <v>0.13</v>
      </c>
    </row>
    <row r="117" spans="1:6" ht="14.25" thickBot="1">
      <c r="A117" s="1853" t="s">
        <v>1406</v>
      </c>
      <c r="B117" s="1857" t="s">
        <v>1146</v>
      </c>
      <c r="C117" s="1858">
        <v>0.13</v>
      </c>
      <c r="D117" s="1858">
        <v>0.13</v>
      </c>
      <c r="E117" s="1858">
        <v>0.129</v>
      </c>
      <c r="F117" s="1859">
        <v>0.13</v>
      </c>
    </row>
    <row r="118" spans="1:6" ht="14.25" thickBot="1">
      <c r="A118" s="1853" t="s">
        <v>1406</v>
      </c>
      <c r="B118" s="1857" t="s">
        <v>1158</v>
      </c>
      <c r="C118" s="1858">
        <v>0.123</v>
      </c>
      <c r="D118" s="1858">
        <v>0.123</v>
      </c>
      <c r="E118" s="1858">
        <v>0.11600000000000001</v>
      </c>
      <c r="F118" s="1859">
        <v>0.13</v>
      </c>
    </row>
    <row r="119" spans="1:6" ht="14.25" thickBot="1">
      <c r="A119" s="1853" t="s">
        <v>1406</v>
      </c>
      <c r="B119" s="1857" t="s">
        <v>1168</v>
      </c>
      <c r="C119" s="1858">
        <v>0.127</v>
      </c>
      <c r="D119" s="1858">
        <v>0.127</v>
      </c>
      <c r="E119" s="1858">
        <v>0.124</v>
      </c>
      <c r="F119" s="1859">
        <v>0.13</v>
      </c>
    </row>
    <row r="120" spans="1:6" ht="14.25" thickBot="1">
      <c r="A120" s="1853" t="s">
        <v>1406</v>
      </c>
      <c r="B120" s="1857" t="s">
        <v>1178</v>
      </c>
      <c r="C120" s="1858">
        <v>0.125</v>
      </c>
      <c r="D120" s="1858">
        <v>0.125</v>
      </c>
      <c r="E120" s="1858">
        <v>0.122</v>
      </c>
      <c r="F120" s="1859">
        <v>0.13</v>
      </c>
    </row>
    <row r="121" spans="1:6" ht="14.25" thickBot="1">
      <c r="A121" s="1853" t="s">
        <v>1406</v>
      </c>
      <c r="B121" s="1857" t="s">
        <v>1188</v>
      </c>
      <c r="C121" s="1858">
        <v>0.13</v>
      </c>
      <c r="D121" s="1858">
        <v>0.13</v>
      </c>
      <c r="E121" s="1858">
        <v>0.13</v>
      </c>
      <c r="F121" s="1859">
        <v>0.13</v>
      </c>
    </row>
    <row r="122" spans="1:6" ht="14.25" thickBot="1">
      <c r="A122" s="1853" t="s">
        <v>1406</v>
      </c>
      <c r="B122" s="1857" t="s">
        <v>1198</v>
      </c>
      <c r="C122" s="1858">
        <v>0.13</v>
      </c>
      <c r="D122" s="1858">
        <v>0.13</v>
      </c>
      <c r="E122" s="1858">
        <v>0.125</v>
      </c>
      <c r="F122" s="1859">
        <v>0.13</v>
      </c>
    </row>
    <row r="123" spans="1:6" ht="14.25" thickBot="1">
      <c r="A123" s="1853" t="s">
        <v>1406</v>
      </c>
      <c r="B123" s="1857" t="s">
        <v>1208</v>
      </c>
      <c r="C123" s="1858">
        <v>0.129</v>
      </c>
      <c r="D123" s="1858">
        <v>0.129</v>
      </c>
      <c r="E123" s="1858">
        <v>0.123</v>
      </c>
      <c r="F123" s="1859">
        <v>0.13</v>
      </c>
    </row>
    <row r="124" spans="1:6" ht="14.25" thickBot="1">
      <c r="A124" s="1853" t="s">
        <v>1406</v>
      </c>
      <c r="B124" s="1857" t="s">
        <v>1218</v>
      </c>
      <c r="C124" s="1858">
        <v>0.10199999999999999</v>
      </c>
      <c r="D124" s="1858">
        <v>0.10100000000000001</v>
      </c>
      <c r="E124" s="1858">
        <v>0.08</v>
      </c>
      <c r="F124" s="1866"/>
    </row>
    <row r="125" spans="1:6" ht="14.25" thickBot="1">
      <c r="A125" s="1853" t="s">
        <v>1406</v>
      </c>
      <c r="B125" s="1857" t="s">
        <v>1228</v>
      </c>
      <c r="C125" s="1858">
        <v>0.13</v>
      </c>
      <c r="D125" s="1858">
        <v>0.13</v>
      </c>
      <c r="E125" s="1858">
        <v>0.129</v>
      </c>
      <c r="F125" s="1866"/>
    </row>
    <row r="126" spans="1:6" ht="14.25" thickBot="1">
      <c r="A126" s="1853" t="s">
        <v>1406</v>
      </c>
      <c r="B126" s="1857" t="s">
        <v>1238</v>
      </c>
      <c r="C126" s="1858">
        <v>0.13</v>
      </c>
      <c r="D126" s="1858">
        <v>0.13</v>
      </c>
      <c r="E126" s="1858">
        <v>0.126</v>
      </c>
      <c r="F126" s="1866"/>
    </row>
    <row r="127" spans="1:6" ht="14.25" thickBot="1">
      <c r="A127" s="1853" t="s">
        <v>1406</v>
      </c>
      <c r="B127" s="1857" t="s">
        <v>1248</v>
      </c>
      <c r="C127" s="1858">
        <v>0.125</v>
      </c>
      <c r="D127" s="1858">
        <v>0.125</v>
      </c>
      <c r="E127" s="1858">
        <v>0.121</v>
      </c>
      <c r="F127" s="1866"/>
    </row>
    <row r="128" spans="1:6" ht="14.25" thickBot="1">
      <c r="A128" s="1853" t="s">
        <v>1406</v>
      </c>
      <c r="B128" s="1857" t="s">
        <v>1258</v>
      </c>
      <c r="C128" s="1858">
        <v>0.12</v>
      </c>
      <c r="D128" s="1858">
        <v>0.12</v>
      </c>
      <c r="E128" s="1858">
        <v>0.105</v>
      </c>
      <c r="F128" s="1866"/>
    </row>
    <row r="129" spans="1:6" ht="14.25" thickBot="1">
      <c r="A129" s="1853" t="s">
        <v>1406</v>
      </c>
      <c r="B129" s="1857" t="s">
        <v>1267</v>
      </c>
      <c r="C129" s="1858">
        <v>0.13</v>
      </c>
      <c r="D129" s="1858">
        <v>0.13</v>
      </c>
      <c r="E129" s="1858">
        <v>0.126</v>
      </c>
      <c r="F129" s="1866"/>
    </row>
    <row r="130" spans="1:6" ht="14.25" thickBot="1">
      <c r="A130" s="1853" t="s">
        <v>1406</v>
      </c>
      <c r="B130" s="1857" t="s">
        <v>1276</v>
      </c>
      <c r="C130" s="1858">
        <v>0.125</v>
      </c>
      <c r="D130" s="1858">
        <v>0.125</v>
      </c>
      <c r="E130" s="1858">
        <v>0.122</v>
      </c>
      <c r="F130" s="1866"/>
    </row>
    <row r="131" spans="1:6" ht="14.25" thickBot="1">
      <c r="A131" s="1853" t="s">
        <v>1406</v>
      </c>
      <c r="B131" s="1857" t="s">
        <v>1284</v>
      </c>
      <c r="C131" s="1858">
        <v>0.127</v>
      </c>
      <c r="D131" s="1858">
        <v>0.126</v>
      </c>
      <c r="E131" s="1858">
        <v>0.123</v>
      </c>
      <c r="F131" s="1866"/>
    </row>
    <row r="132" spans="1:6" ht="14.25" thickBot="1">
      <c r="A132" s="1853" t="s">
        <v>1406</v>
      </c>
      <c r="B132" s="1857" t="s">
        <v>1291</v>
      </c>
      <c r="C132" s="1858">
        <v>9.0999999999999998E-2</v>
      </c>
      <c r="D132" s="1858">
        <v>0.121</v>
      </c>
      <c r="E132" s="1858">
        <v>9.9000000000000005E-2</v>
      </c>
      <c r="F132" s="1866"/>
    </row>
    <row r="133" spans="1:6" ht="14.25" thickBot="1">
      <c r="A133" s="1853" t="s">
        <v>1406</v>
      </c>
      <c r="B133" s="1857" t="s">
        <v>1298</v>
      </c>
      <c r="C133" s="1858">
        <v>0.13</v>
      </c>
      <c r="D133" s="1858">
        <v>0.13</v>
      </c>
      <c r="E133" s="1858">
        <v>0.129</v>
      </c>
      <c r="F133" s="1866"/>
    </row>
    <row r="134" spans="1:6" ht="14.25" thickBot="1">
      <c r="A134" s="1853" t="s">
        <v>1406</v>
      </c>
      <c r="B134" s="1857" t="s">
        <v>2106</v>
      </c>
      <c r="C134" s="1858">
        <v>6.8000000000000005E-2</v>
      </c>
      <c r="D134" s="1858">
        <v>6.5000000000000002E-2</v>
      </c>
      <c r="E134" s="1858">
        <v>6.5000000000000002E-2</v>
      </c>
      <c r="F134" s="1859">
        <v>0.13</v>
      </c>
    </row>
    <row r="135" spans="1:6" ht="14.25" thickBot="1">
      <c r="A135" s="1853" t="s">
        <v>1406</v>
      </c>
      <c r="B135" s="1857" t="s">
        <v>1312</v>
      </c>
      <c r="C135" s="1858">
        <v>0.123</v>
      </c>
      <c r="D135" s="1858">
        <v>0.123</v>
      </c>
      <c r="E135" s="1858">
        <v>0.11</v>
      </c>
      <c r="F135" s="1866"/>
    </row>
    <row r="136" spans="1:6" ht="14.25" thickBot="1">
      <c r="A136" s="1853" t="s">
        <v>1406</v>
      </c>
      <c r="B136" s="1857" t="s">
        <v>1319</v>
      </c>
      <c r="C136" s="1858">
        <v>0.13</v>
      </c>
      <c r="D136" s="1858">
        <v>0.13</v>
      </c>
      <c r="E136" s="1858">
        <v>0.125</v>
      </c>
      <c r="F136" s="1866"/>
    </row>
    <row r="137" spans="1:6" ht="14.25" thickBot="1">
      <c r="A137" s="1853" t="s">
        <v>1406</v>
      </c>
      <c r="B137" s="1857" t="s">
        <v>1326</v>
      </c>
      <c r="C137" s="1858">
        <v>0.121</v>
      </c>
      <c r="D137" s="1858">
        <v>0.122</v>
      </c>
      <c r="E137" s="1858">
        <v>0.115</v>
      </c>
      <c r="F137" s="1866"/>
    </row>
    <row r="138" spans="1:6" ht="14.25" thickBot="1">
      <c r="A138" s="1853" t="s">
        <v>1406</v>
      </c>
      <c r="B138" s="1857" t="s">
        <v>2107</v>
      </c>
      <c r="C138" s="1858">
        <v>0.105</v>
      </c>
      <c r="D138" s="1858">
        <v>0.125</v>
      </c>
      <c r="E138" s="1858">
        <v>0.112</v>
      </c>
      <c r="F138" s="1866"/>
    </row>
    <row r="139" spans="1:6" ht="14.25" thickBot="1">
      <c r="A139" s="1853" t="s">
        <v>1406</v>
      </c>
      <c r="B139" s="1857" t="s">
        <v>2108</v>
      </c>
      <c r="C139" s="1858">
        <v>0.127</v>
      </c>
      <c r="D139" s="1858">
        <v>0.127</v>
      </c>
      <c r="E139" s="1858">
        <v>0.122</v>
      </c>
      <c r="F139" s="1859">
        <v>0.13</v>
      </c>
    </row>
    <row r="140" spans="1:6" ht="14.25" thickBot="1">
      <c r="A140" s="1853" t="s">
        <v>1406</v>
      </c>
      <c r="B140" s="1857" t="s">
        <v>2109</v>
      </c>
      <c r="C140" s="1858">
        <v>0.125</v>
      </c>
      <c r="D140" s="1858">
        <v>0.125</v>
      </c>
      <c r="E140" s="1858">
        <v>0.11899999999999999</v>
      </c>
      <c r="F140" s="1859">
        <v>0.13</v>
      </c>
    </row>
    <row r="141" spans="1:6" ht="14.25" thickBot="1">
      <c r="A141" s="1853" t="s">
        <v>1406</v>
      </c>
      <c r="B141" s="1857" t="s">
        <v>1345</v>
      </c>
      <c r="C141" s="1858">
        <v>0.125</v>
      </c>
      <c r="D141" s="1858">
        <v>0.125</v>
      </c>
      <c r="E141" s="1858">
        <v>0.11700000000000001</v>
      </c>
      <c r="F141" s="1866"/>
    </row>
    <row r="142" spans="1:6" ht="14.25" thickBot="1">
      <c r="A142" s="1853" t="s">
        <v>1406</v>
      </c>
      <c r="B142" s="1857" t="s">
        <v>1350</v>
      </c>
      <c r="C142" s="1858">
        <v>0.125</v>
      </c>
      <c r="D142" s="1858">
        <v>0.125</v>
      </c>
      <c r="E142" s="1858">
        <v>0.115</v>
      </c>
      <c r="F142" s="1866"/>
    </row>
    <row r="143" spans="1:6" ht="14.25" thickBot="1">
      <c r="A143" s="1853" t="s">
        <v>1406</v>
      </c>
      <c r="B143" s="1857" t="s">
        <v>1355</v>
      </c>
      <c r="C143" s="1858">
        <v>0.121</v>
      </c>
      <c r="D143" s="1858">
        <v>0.121</v>
      </c>
      <c r="E143" s="1858">
        <v>0.108</v>
      </c>
      <c r="F143" s="1866"/>
    </row>
    <row r="144" spans="1:6" ht="14.25" thickBot="1">
      <c r="A144" s="1853" t="s">
        <v>1406</v>
      </c>
      <c r="B144" s="1870" t="s">
        <v>2110</v>
      </c>
      <c r="C144" s="1871">
        <v>0.126</v>
      </c>
      <c r="D144" s="1871">
        <v>0.126</v>
      </c>
      <c r="E144" s="1871">
        <v>0.121</v>
      </c>
      <c r="F144" s="1866"/>
    </row>
    <row r="145" spans="1:6" ht="14.25" thickBot="1">
      <c r="A145" s="1861" t="s">
        <v>1406</v>
      </c>
      <c r="B145" s="1872" t="s">
        <v>2111</v>
      </c>
      <c r="C145" s="1873"/>
      <c r="D145" s="1873"/>
      <c r="E145" s="1873"/>
      <c r="F145" s="1874">
        <v>0.05</v>
      </c>
    </row>
    <row r="146" spans="1:6" ht="24.75" thickBot="1">
      <c r="A146" s="1875" t="s">
        <v>1406</v>
      </c>
      <c r="B146" s="1860" t="s">
        <v>2112</v>
      </c>
      <c r="C146" s="1867"/>
      <c r="D146" s="1867"/>
      <c r="E146" s="1867"/>
      <c r="F146" s="1876">
        <v>0.05</v>
      </c>
    </row>
    <row r="147" spans="1:6" ht="24.75" thickBot="1">
      <c r="A147" s="1853" t="s">
        <v>1406</v>
      </c>
      <c r="B147" s="1857" t="s">
        <v>2113</v>
      </c>
      <c r="C147" s="1867"/>
      <c r="D147" s="1867"/>
      <c r="E147" s="1867"/>
      <c r="F147" s="1859">
        <v>0.05</v>
      </c>
    </row>
    <row r="148" spans="1:6" ht="24.75" thickBot="1">
      <c r="A148" s="1853" t="s">
        <v>1406</v>
      </c>
      <c r="B148" s="1857" t="s">
        <v>2114</v>
      </c>
      <c r="C148" s="1867"/>
      <c r="D148" s="1867"/>
      <c r="E148" s="1867"/>
      <c r="F148" s="1859">
        <v>0.05</v>
      </c>
    </row>
    <row r="149" spans="1:6" ht="24.75" thickBot="1">
      <c r="A149" s="1853" t="s">
        <v>1406</v>
      </c>
      <c r="B149" s="1857" t="s">
        <v>2115</v>
      </c>
      <c r="C149" s="1867"/>
      <c r="D149" s="1867"/>
      <c r="E149" s="1867"/>
      <c r="F149" s="1859">
        <v>0.05</v>
      </c>
    </row>
    <row r="150" spans="1:6" ht="24.75" thickBot="1">
      <c r="A150" s="1853" t="s">
        <v>1406</v>
      </c>
      <c r="B150" s="1857" t="s">
        <v>2116</v>
      </c>
      <c r="C150" s="1867"/>
      <c r="D150" s="1867"/>
      <c r="E150" s="1867"/>
      <c r="F150" s="1859">
        <v>0.05</v>
      </c>
    </row>
    <row r="151" spans="1:6" ht="24.75" thickBot="1">
      <c r="A151" s="1853" t="s">
        <v>1406</v>
      </c>
      <c r="B151" s="1857" t="s">
        <v>2117</v>
      </c>
      <c r="C151" s="1867"/>
      <c r="D151" s="1867"/>
      <c r="E151" s="1867"/>
      <c r="F151" s="1859">
        <v>0.05</v>
      </c>
    </row>
    <row r="152" spans="1:6" ht="24.75" thickBot="1">
      <c r="A152" s="1853" t="s">
        <v>1406</v>
      </c>
      <c r="B152" s="1857" t="s">
        <v>1388</v>
      </c>
      <c r="C152" s="1867"/>
      <c r="D152" s="1867"/>
      <c r="E152" s="1867"/>
      <c r="F152" s="1859">
        <v>0.05</v>
      </c>
    </row>
    <row r="153" spans="1:6" ht="14.25" thickBot="1">
      <c r="A153" s="1853" t="s">
        <v>1406</v>
      </c>
      <c r="B153" s="1857" t="s">
        <v>2118</v>
      </c>
      <c r="C153" s="1867"/>
      <c r="D153" s="1867"/>
      <c r="E153" s="1867"/>
      <c r="F153" s="1859">
        <v>0.05</v>
      </c>
    </row>
    <row r="154" spans="1:6" ht="14.25" thickBot="1">
      <c r="A154" s="1853" t="s">
        <v>1406</v>
      </c>
      <c r="B154" s="1857" t="s">
        <v>2119</v>
      </c>
      <c r="C154" s="1867"/>
      <c r="D154" s="1867"/>
      <c r="E154" s="1867"/>
      <c r="F154" s="1859">
        <v>0.05</v>
      </c>
    </row>
    <row r="155" spans="1:6" ht="24.75" thickBot="1">
      <c r="A155" s="1853" t="s">
        <v>1406</v>
      </c>
      <c r="B155" s="1857" t="s">
        <v>2120</v>
      </c>
      <c r="C155" s="1867"/>
      <c r="D155" s="1867"/>
      <c r="E155" s="1867"/>
      <c r="F155" s="1859">
        <v>0.05</v>
      </c>
    </row>
    <row r="156" spans="1:6" ht="24.75" thickBot="1">
      <c r="A156" s="1853" t="s">
        <v>1406</v>
      </c>
      <c r="B156" s="1857" t="s">
        <v>2121</v>
      </c>
      <c r="C156" s="1867"/>
      <c r="D156" s="1867"/>
      <c r="E156" s="1867"/>
      <c r="F156" s="1859">
        <v>0.05</v>
      </c>
    </row>
    <row r="157" spans="1:6" ht="14.25" thickBot="1">
      <c r="A157" s="1861" t="s">
        <v>1406</v>
      </c>
      <c r="B157" s="1868" t="s">
        <v>2122</v>
      </c>
      <c r="C157" s="1864"/>
      <c r="D157" s="1864"/>
      <c r="E157" s="1864"/>
      <c r="F157" s="1869">
        <v>0.05</v>
      </c>
    </row>
    <row r="158" spans="1:6" ht="14.25" thickBot="1">
      <c r="A158" s="1853" t="s">
        <v>1408</v>
      </c>
      <c r="B158" s="1854" t="s">
        <v>2123</v>
      </c>
      <c r="C158" s="1855">
        <v>0.13</v>
      </c>
      <c r="D158" s="1855">
        <v>0.13</v>
      </c>
      <c r="E158" s="1855">
        <v>0.13</v>
      </c>
      <c r="F158" s="1856">
        <v>0.13</v>
      </c>
    </row>
    <row r="159" spans="1:6" ht="14.25" thickBot="1">
      <c r="A159" s="1853" t="s">
        <v>1408</v>
      </c>
      <c r="B159" s="1857" t="s">
        <v>1073</v>
      </c>
      <c r="C159" s="1858">
        <v>0.13</v>
      </c>
      <c r="D159" s="1858">
        <v>0.13</v>
      </c>
      <c r="E159" s="1858">
        <v>0.13</v>
      </c>
      <c r="F159" s="1859">
        <v>0.13</v>
      </c>
    </row>
    <row r="160" spans="1:6" ht="14.25" thickBot="1">
      <c r="A160" s="1853" t="s">
        <v>1408</v>
      </c>
      <c r="B160" s="1857" t="s">
        <v>1087</v>
      </c>
      <c r="C160" s="1858">
        <v>0.13</v>
      </c>
      <c r="D160" s="1858">
        <v>0.13</v>
      </c>
      <c r="E160" s="1858">
        <v>0.129</v>
      </c>
      <c r="F160" s="1859">
        <v>0.13</v>
      </c>
    </row>
    <row r="161" spans="1:6" ht="14.25" thickBot="1">
      <c r="A161" s="1853" t="s">
        <v>1408</v>
      </c>
      <c r="B161" s="1857" t="s">
        <v>1100</v>
      </c>
      <c r="C161" s="1858">
        <v>0.128</v>
      </c>
      <c r="D161" s="1858">
        <v>0.128</v>
      </c>
      <c r="E161" s="1858">
        <v>0.125</v>
      </c>
      <c r="F161" s="1859">
        <v>0.13</v>
      </c>
    </row>
    <row r="162" spans="1:6" ht="14.25" thickBot="1">
      <c r="A162" s="1853" t="s">
        <v>1408</v>
      </c>
      <c r="B162" s="1857" t="s">
        <v>1114</v>
      </c>
      <c r="C162" s="1858">
        <v>0.122</v>
      </c>
      <c r="D162" s="1858">
        <v>0.122</v>
      </c>
      <c r="E162" s="1858">
        <v>0.126</v>
      </c>
      <c r="F162" s="1859">
        <v>0.122</v>
      </c>
    </row>
    <row r="163" spans="1:6" ht="14.25" thickBot="1">
      <c r="A163" s="1853" t="s">
        <v>1408</v>
      </c>
      <c r="B163" s="1857" t="s">
        <v>1125</v>
      </c>
      <c r="C163" s="1858">
        <v>0.13</v>
      </c>
      <c r="D163" s="1858">
        <v>0.13</v>
      </c>
      <c r="E163" s="1858">
        <v>0.125</v>
      </c>
      <c r="F163" s="1859">
        <v>0.13</v>
      </c>
    </row>
    <row r="164" spans="1:6" ht="14.25" thickBot="1">
      <c r="A164" s="1853" t="s">
        <v>1408</v>
      </c>
      <c r="B164" s="1857" t="s">
        <v>1136</v>
      </c>
      <c r="C164" s="1858">
        <v>0.13</v>
      </c>
      <c r="D164" s="1858">
        <v>0.13</v>
      </c>
      <c r="E164" s="1858">
        <v>0.13</v>
      </c>
      <c r="F164" s="1859">
        <v>0.13</v>
      </c>
    </row>
    <row r="165" spans="1:6" ht="14.25" thickBot="1">
      <c r="A165" s="1853" t="s">
        <v>1408</v>
      </c>
      <c r="B165" s="1857" t="s">
        <v>1147</v>
      </c>
      <c r="C165" s="1858">
        <v>0.13</v>
      </c>
      <c r="D165" s="1858">
        <v>0.13</v>
      </c>
      <c r="E165" s="1858">
        <v>0.124</v>
      </c>
      <c r="F165" s="1859">
        <v>0.13</v>
      </c>
    </row>
    <row r="166" spans="1:6" ht="14.25" thickBot="1">
      <c r="A166" s="1853" t="s">
        <v>1408</v>
      </c>
      <c r="B166" s="1857" t="s">
        <v>1159</v>
      </c>
      <c r="C166" s="1858">
        <v>0.13</v>
      </c>
      <c r="D166" s="1858">
        <v>0.13</v>
      </c>
      <c r="E166" s="1858">
        <v>0.13</v>
      </c>
      <c r="F166" s="1859">
        <v>0.13</v>
      </c>
    </row>
    <row r="167" spans="1:6" ht="14.25" thickBot="1">
      <c r="A167" s="1853" t="s">
        <v>1408</v>
      </c>
      <c r="B167" s="1857" t="s">
        <v>1169</v>
      </c>
      <c r="C167" s="1858">
        <v>0.125</v>
      </c>
      <c r="D167" s="1858">
        <v>0.125</v>
      </c>
      <c r="E167" s="1858">
        <v>0.121</v>
      </c>
      <c r="F167" s="1866"/>
    </row>
    <row r="168" spans="1:6" ht="14.25" thickBot="1">
      <c r="A168" s="1853" t="s">
        <v>1408</v>
      </c>
      <c r="B168" s="1857" t="s">
        <v>1179</v>
      </c>
      <c r="C168" s="1858">
        <v>0.13</v>
      </c>
      <c r="D168" s="1858">
        <v>0.13</v>
      </c>
      <c r="E168" s="1858">
        <v>0.126</v>
      </c>
      <c r="F168" s="1866"/>
    </row>
    <row r="169" spans="1:6" ht="14.25" thickBot="1">
      <c r="A169" s="1853" t="s">
        <v>1408</v>
      </c>
      <c r="B169" s="1857" t="s">
        <v>1189</v>
      </c>
      <c r="C169" s="1858">
        <v>0.128</v>
      </c>
      <c r="D169" s="1858">
        <v>0.129</v>
      </c>
      <c r="E169" s="1858">
        <v>0.13</v>
      </c>
      <c r="F169" s="1866"/>
    </row>
    <row r="170" spans="1:6" ht="14.25" thickBot="1">
      <c r="A170" s="1853" t="s">
        <v>1408</v>
      </c>
      <c r="B170" s="1857" t="s">
        <v>1199</v>
      </c>
      <c r="C170" s="1858">
        <v>0.14099999999999999</v>
      </c>
      <c r="D170" s="1858">
        <v>0.13</v>
      </c>
      <c r="E170" s="1858">
        <v>0.125</v>
      </c>
      <c r="F170" s="1866"/>
    </row>
    <row r="171" spans="1:6" ht="14.25" thickBot="1">
      <c r="A171" s="1853" t="s">
        <v>1408</v>
      </c>
      <c r="B171" s="1857" t="s">
        <v>2124</v>
      </c>
      <c r="C171" s="1858">
        <v>0.127</v>
      </c>
      <c r="D171" s="1858">
        <v>0.126</v>
      </c>
      <c r="E171" s="1858">
        <v>0.126</v>
      </c>
      <c r="F171" s="1859">
        <v>0.11799999999999999</v>
      </c>
    </row>
    <row r="172" spans="1:6" ht="14.25" thickBot="1">
      <c r="A172" s="1853" t="s">
        <v>1408</v>
      </c>
      <c r="B172" s="1857" t="s">
        <v>2125</v>
      </c>
      <c r="C172" s="1858">
        <v>0.13</v>
      </c>
      <c r="D172" s="1858">
        <v>0.13</v>
      </c>
      <c r="E172" s="1858">
        <v>0.13</v>
      </c>
      <c r="F172" s="1866"/>
    </row>
    <row r="173" spans="1:6" ht="14.25" thickBot="1">
      <c r="A173" s="1853" t="s">
        <v>1408</v>
      </c>
      <c r="B173" s="1857" t="s">
        <v>1229</v>
      </c>
      <c r="C173" s="1858">
        <v>0.13</v>
      </c>
      <c r="D173" s="1858">
        <v>0.13</v>
      </c>
      <c r="E173" s="1858">
        <v>0.13</v>
      </c>
      <c r="F173" s="1866"/>
    </row>
    <row r="174" spans="1:6" ht="14.25" thickBot="1">
      <c r="A174" s="1853" t="s">
        <v>1408</v>
      </c>
      <c r="B174" s="1857" t="s">
        <v>2126</v>
      </c>
      <c r="C174" s="1858">
        <v>0.13</v>
      </c>
      <c r="D174" s="1858">
        <v>0.13</v>
      </c>
      <c r="E174" s="1858">
        <v>0.13</v>
      </c>
      <c r="F174" s="1859">
        <v>0.13</v>
      </c>
    </row>
    <row r="175" spans="1:6" ht="14.25" thickBot="1">
      <c r="A175" s="1853" t="s">
        <v>1408</v>
      </c>
      <c r="B175" s="1857" t="s">
        <v>2127</v>
      </c>
      <c r="C175" s="1858">
        <v>0.13</v>
      </c>
      <c r="D175" s="1858">
        <v>0.13</v>
      </c>
      <c r="E175" s="1858">
        <v>0.13</v>
      </c>
      <c r="F175" s="1859">
        <v>0.13</v>
      </c>
    </row>
    <row r="176" spans="1:6" ht="14.25" thickBot="1">
      <c r="A176" s="1853" t="s">
        <v>1408</v>
      </c>
      <c r="B176" s="1857" t="s">
        <v>1259</v>
      </c>
      <c r="C176" s="1858">
        <v>0.13</v>
      </c>
      <c r="D176" s="1858">
        <v>0.13</v>
      </c>
      <c r="E176" s="1858">
        <v>0.13</v>
      </c>
      <c r="F176" s="1859">
        <v>0.13</v>
      </c>
    </row>
    <row r="177" spans="1:6" ht="14.25" thickBot="1">
      <c r="A177" s="1853" t="s">
        <v>1408</v>
      </c>
      <c r="B177" s="1857" t="s">
        <v>2128</v>
      </c>
      <c r="C177" s="1858">
        <v>0.13</v>
      </c>
      <c r="D177" s="1858">
        <v>0.13</v>
      </c>
      <c r="E177" s="1858">
        <v>0.13</v>
      </c>
      <c r="F177" s="1859">
        <v>0.13</v>
      </c>
    </row>
    <row r="178" spans="1:6" ht="14.25" thickBot="1">
      <c r="A178" s="1853" t="s">
        <v>1408</v>
      </c>
      <c r="B178" s="1857" t="s">
        <v>1277</v>
      </c>
      <c r="C178" s="1858">
        <v>0.13</v>
      </c>
      <c r="D178" s="1858">
        <v>0.13</v>
      </c>
      <c r="E178" s="1858">
        <v>0.13</v>
      </c>
      <c r="F178" s="1859">
        <v>0.127</v>
      </c>
    </row>
    <row r="179" spans="1:6" ht="14.25" thickBot="1">
      <c r="A179" s="1853" t="s">
        <v>1408</v>
      </c>
      <c r="B179" s="1857" t="s">
        <v>1285</v>
      </c>
      <c r="C179" s="1858">
        <v>0.13</v>
      </c>
      <c r="D179" s="1858">
        <v>0.13</v>
      </c>
      <c r="E179" s="1858">
        <v>0.13</v>
      </c>
      <c r="F179" s="1866"/>
    </row>
    <row r="180" spans="1:6" ht="14.25" thickBot="1">
      <c r="A180" s="1853" t="s">
        <v>1408</v>
      </c>
      <c r="B180" s="1857" t="s">
        <v>2129</v>
      </c>
      <c r="C180" s="1858">
        <v>0.13</v>
      </c>
      <c r="D180" s="1858">
        <v>0.13</v>
      </c>
      <c r="E180" s="1858">
        <v>0.125</v>
      </c>
      <c r="F180" s="1859">
        <v>0.13</v>
      </c>
    </row>
    <row r="181" spans="1:6" ht="14.25" thickBot="1">
      <c r="A181" s="1853" t="s">
        <v>1408</v>
      </c>
      <c r="B181" s="1857" t="s">
        <v>1299</v>
      </c>
      <c r="C181" s="1858">
        <v>0.122</v>
      </c>
      <c r="D181" s="1858">
        <v>0.123</v>
      </c>
      <c r="E181" s="1858">
        <v>0.126</v>
      </c>
      <c r="F181" s="1859">
        <v>0.121</v>
      </c>
    </row>
    <row r="182" spans="1:6" ht="14.25" thickBot="1">
      <c r="A182" s="1853" t="s">
        <v>1408</v>
      </c>
      <c r="B182" s="1857" t="s">
        <v>1306</v>
      </c>
      <c r="C182" s="1858">
        <v>0.125</v>
      </c>
      <c r="D182" s="1858">
        <v>0.125</v>
      </c>
      <c r="E182" s="1858">
        <v>0.11700000000000001</v>
      </c>
      <c r="F182" s="1859">
        <v>0.13</v>
      </c>
    </row>
    <row r="183" spans="1:6" ht="14.25" thickBot="1">
      <c r="A183" s="1853" t="s">
        <v>1408</v>
      </c>
      <c r="B183" s="1857" t="s">
        <v>1313</v>
      </c>
      <c r="C183" s="1858">
        <v>0.127</v>
      </c>
      <c r="D183" s="1858">
        <v>0.127</v>
      </c>
      <c r="E183" s="1858">
        <v>0.128</v>
      </c>
      <c r="F183" s="1866"/>
    </row>
    <row r="184" spans="1:6" ht="14.25" thickBot="1">
      <c r="A184" s="1853" t="s">
        <v>1408</v>
      </c>
      <c r="B184" s="1857" t="s">
        <v>1320</v>
      </c>
      <c r="C184" s="1858">
        <v>0.125</v>
      </c>
      <c r="D184" s="1858">
        <v>0.125</v>
      </c>
      <c r="E184" s="1858">
        <v>0.127</v>
      </c>
      <c r="F184" s="1866"/>
    </row>
    <row r="185" spans="1:6" ht="14.25" thickBot="1">
      <c r="A185" s="1853" t="s">
        <v>1408</v>
      </c>
      <c r="B185" s="1857" t="s">
        <v>2130</v>
      </c>
      <c r="C185" s="1858">
        <v>0.127</v>
      </c>
      <c r="D185" s="1858">
        <v>0.127</v>
      </c>
      <c r="E185" s="1858">
        <v>0.128</v>
      </c>
      <c r="F185" s="1859">
        <v>0.13</v>
      </c>
    </row>
    <row r="186" spans="1:6" ht="24.75" thickBot="1">
      <c r="A186" s="1853" t="s">
        <v>1408</v>
      </c>
      <c r="B186" s="1857" t="s">
        <v>2131</v>
      </c>
      <c r="C186" s="1867"/>
      <c r="D186" s="1867"/>
      <c r="E186" s="1867"/>
      <c r="F186" s="1859">
        <v>0.05</v>
      </c>
    </row>
    <row r="187" spans="1:6" ht="14.25" thickBot="1">
      <c r="A187" s="1853" t="s">
        <v>1408</v>
      </c>
      <c r="B187" s="1857" t="s">
        <v>2132</v>
      </c>
      <c r="C187" s="1867"/>
      <c r="D187" s="1867"/>
      <c r="E187" s="1867"/>
      <c r="F187" s="1859">
        <v>0.05</v>
      </c>
    </row>
    <row r="188" spans="1:6" ht="14.25" thickBot="1">
      <c r="A188" s="1853" t="s">
        <v>1408</v>
      </c>
      <c r="B188" s="1857" t="s">
        <v>2133</v>
      </c>
      <c r="C188" s="1867"/>
      <c r="D188" s="1867"/>
      <c r="E188" s="1867"/>
      <c r="F188" s="1859">
        <v>0.05</v>
      </c>
    </row>
    <row r="189" spans="1:6" ht="24.75" thickBot="1">
      <c r="A189" s="1853" t="s">
        <v>1408</v>
      </c>
      <c r="B189" s="1857" t="s">
        <v>2134</v>
      </c>
      <c r="C189" s="1867"/>
      <c r="D189" s="1867"/>
      <c r="E189" s="1867"/>
      <c r="F189" s="1859">
        <v>0.05</v>
      </c>
    </row>
    <row r="190" spans="1:6" ht="24.75" thickBot="1">
      <c r="A190" s="1853" t="s">
        <v>1408</v>
      </c>
      <c r="B190" s="1857" t="s">
        <v>2135</v>
      </c>
      <c r="C190" s="1867"/>
      <c r="D190" s="1867"/>
      <c r="E190" s="1867"/>
      <c r="F190" s="1859">
        <v>0.05</v>
      </c>
    </row>
    <row r="191" spans="1:6" ht="24.75" thickBot="1">
      <c r="A191" s="1853" t="s">
        <v>1408</v>
      </c>
      <c r="B191" s="1857" t="s">
        <v>2136</v>
      </c>
      <c r="C191" s="1867"/>
      <c r="D191" s="1867"/>
      <c r="E191" s="1867"/>
      <c r="F191" s="1859">
        <v>0.05</v>
      </c>
    </row>
    <row r="192" spans="1:6" ht="24.75" thickBot="1">
      <c r="A192" s="1853" t="s">
        <v>1408</v>
      </c>
      <c r="B192" s="1857" t="s">
        <v>2137</v>
      </c>
      <c r="C192" s="1867"/>
      <c r="D192" s="1867"/>
      <c r="E192" s="1867"/>
      <c r="F192" s="1859">
        <v>0.05</v>
      </c>
    </row>
    <row r="193" spans="1:6" ht="24.75" thickBot="1">
      <c r="A193" s="1853" t="s">
        <v>1408</v>
      </c>
      <c r="B193" s="1857" t="s">
        <v>2138</v>
      </c>
      <c r="C193" s="1867"/>
      <c r="D193" s="1867"/>
      <c r="E193" s="1867"/>
      <c r="F193" s="1859">
        <v>0.05</v>
      </c>
    </row>
    <row r="194" spans="1:6" ht="24.75" thickBot="1">
      <c r="A194" s="1853" t="s">
        <v>1408</v>
      </c>
      <c r="B194" s="1857" t="s">
        <v>2139</v>
      </c>
      <c r="C194" s="1867"/>
      <c r="D194" s="1867"/>
      <c r="E194" s="1867"/>
      <c r="F194" s="1859">
        <v>0.05</v>
      </c>
    </row>
    <row r="195" spans="1:6" ht="14.25" thickBot="1">
      <c r="A195" s="1853" t="s">
        <v>1408</v>
      </c>
      <c r="B195" s="1857" t="s">
        <v>2140</v>
      </c>
      <c r="C195" s="1867"/>
      <c r="D195" s="1867"/>
      <c r="E195" s="1867"/>
      <c r="F195" s="1859">
        <v>0.05</v>
      </c>
    </row>
    <row r="196" spans="1:6" ht="24.75" thickBot="1">
      <c r="A196" s="1853" t="s">
        <v>1408</v>
      </c>
      <c r="B196" s="1857" t="s">
        <v>2141</v>
      </c>
      <c r="C196" s="1867"/>
      <c r="D196" s="1867"/>
      <c r="E196" s="1867"/>
      <c r="F196" s="1859">
        <v>0.05</v>
      </c>
    </row>
    <row r="197" spans="1:6" ht="24.75" thickBot="1">
      <c r="A197" s="1853" t="s">
        <v>1408</v>
      </c>
      <c r="B197" s="1857" t="s">
        <v>2142</v>
      </c>
      <c r="C197" s="1867"/>
      <c r="D197" s="1867"/>
      <c r="E197" s="1867"/>
      <c r="F197" s="1859">
        <v>0.05</v>
      </c>
    </row>
    <row r="198" spans="1:6" ht="24.75" thickBot="1">
      <c r="A198" s="1853" t="s">
        <v>1408</v>
      </c>
      <c r="B198" s="1857" t="s">
        <v>2143</v>
      </c>
      <c r="C198" s="1867"/>
      <c r="D198" s="1867"/>
      <c r="E198" s="1867"/>
      <c r="F198" s="1859">
        <v>0.05</v>
      </c>
    </row>
    <row r="199" spans="1:6" ht="24.75" thickBot="1">
      <c r="A199" s="1853" t="s">
        <v>1408</v>
      </c>
      <c r="B199" s="1857" t="s">
        <v>2144</v>
      </c>
      <c r="C199" s="1867"/>
      <c r="D199" s="1867"/>
      <c r="E199" s="1867"/>
      <c r="F199" s="1859">
        <v>0.05</v>
      </c>
    </row>
    <row r="200" spans="1:6" ht="24.75" thickBot="1">
      <c r="A200" s="1853" t="s">
        <v>1408</v>
      </c>
      <c r="B200" s="1857" t="s">
        <v>2145</v>
      </c>
      <c r="C200" s="1867"/>
      <c r="D200" s="1867"/>
      <c r="E200" s="1867"/>
      <c r="F200" s="1859">
        <v>0.05</v>
      </c>
    </row>
    <row r="201" spans="1:6" ht="24.75" thickBot="1">
      <c r="A201" s="1853" t="s">
        <v>1408</v>
      </c>
      <c r="B201" s="1857" t="s">
        <v>2146</v>
      </c>
      <c r="C201" s="1867"/>
      <c r="D201" s="1867"/>
      <c r="E201" s="1867"/>
      <c r="F201" s="1859">
        <v>0.05</v>
      </c>
    </row>
    <row r="202" spans="1:6" ht="24.75" thickBot="1">
      <c r="A202" s="1853" t="s">
        <v>1408</v>
      </c>
      <c r="B202" s="1857" t="s">
        <v>2147</v>
      </c>
      <c r="C202" s="1867"/>
      <c r="D202" s="1867"/>
      <c r="E202" s="1867"/>
      <c r="F202" s="1859">
        <v>0.05</v>
      </c>
    </row>
    <row r="203" spans="1:6" ht="24.75" thickBot="1">
      <c r="A203" s="1853" t="s">
        <v>1408</v>
      </c>
      <c r="B203" s="1857" t="s">
        <v>2148</v>
      </c>
      <c r="C203" s="1867"/>
      <c r="D203" s="1867"/>
      <c r="E203" s="1867"/>
      <c r="F203" s="1859">
        <v>0.05</v>
      </c>
    </row>
    <row r="204" spans="1:6" ht="14.25" thickBot="1">
      <c r="A204" s="1853" t="s">
        <v>1408</v>
      </c>
      <c r="B204" s="1857" t="s">
        <v>2149</v>
      </c>
      <c r="C204" s="1867"/>
      <c r="D204" s="1867"/>
      <c r="E204" s="1867"/>
      <c r="F204" s="1859">
        <v>0.05</v>
      </c>
    </row>
    <row r="205" spans="1:6" ht="14.25" thickBot="1">
      <c r="A205" s="1861" t="s">
        <v>1408</v>
      </c>
      <c r="B205" s="1868" t="s">
        <v>2150</v>
      </c>
      <c r="C205" s="1864"/>
      <c r="D205" s="1864"/>
      <c r="E205" s="1864"/>
      <c r="F205" s="1869">
        <v>0.05</v>
      </c>
    </row>
    <row r="206" spans="1:6" ht="14.25" thickBot="1">
      <c r="A206" s="1853" t="s">
        <v>1410</v>
      </c>
      <c r="B206" s="1854" t="s">
        <v>2151</v>
      </c>
      <c r="C206" s="1855">
        <v>0.15</v>
      </c>
      <c r="D206" s="1855">
        <v>0.15</v>
      </c>
      <c r="E206" s="1855">
        <v>0.15</v>
      </c>
      <c r="F206" s="1856">
        <v>0.15</v>
      </c>
    </row>
    <row r="207" spans="1:6" ht="14.25" thickBot="1">
      <c r="A207" s="1853" t="s">
        <v>1410</v>
      </c>
      <c r="B207" s="1857" t="s">
        <v>1074</v>
      </c>
      <c r="C207" s="1858">
        <v>0.15</v>
      </c>
      <c r="D207" s="1858">
        <v>0.15</v>
      </c>
      <c r="E207" s="1858">
        <v>0.15</v>
      </c>
      <c r="F207" s="1859">
        <v>0.14399999999999999</v>
      </c>
    </row>
    <row r="208" spans="1:6" ht="14.25" thickBot="1">
      <c r="A208" s="1853" t="s">
        <v>1410</v>
      </c>
      <c r="B208" s="1857" t="s">
        <v>1088</v>
      </c>
      <c r="C208" s="1858">
        <v>0.15</v>
      </c>
      <c r="D208" s="1858">
        <v>0.15</v>
      </c>
      <c r="E208" s="1858">
        <v>0.15</v>
      </c>
      <c r="F208" s="1859">
        <v>0.15</v>
      </c>
    </row>
    <row r="209" spans="1:6" ht="14.25" thickBot="1">
      <c r="A209" s="1853" t="s">
        <v>1410</v>
      </c>
      <c r="B209" s="1857" t="s">
        <v>1101</v>
      </c>
      <c r="C209" s="1858">
        <v>0.13700000000000001</v>
      </c>
      <c r="D209" s="1858">
        <v>0.13700000000000001</v>
      </c>
      <c r="E209" s="1858">
        <v>0.14000000000000001</v>
      </c>
      <c r="F209" s="1859">
        <v>0.11700000000000001</v>
      </c>
    </row>
    <row r="210" spans="1:6" ht="14.25" thickBot="1">
      <c r="A210" s="1853" t="s">
        <v>1410</v>
      </c>
      <c r="B210" s="1857" t="s">
        <v>2152</v>
      </c>
      <c r="C210" s="1858">
        <v>0.15</v>
      </c>
      <c r="D210" s="1858">
        <v>0.15</v>
      </c>
      <c r="E210" s="1858">
        <v>0.15</v>
      </c>
      <c r="F210" s="1859">
        <v>0.13800000000000001</v>
      </c>
    </row>
    <row r="211" spans="1:6" ht="14.25" thickBot="1">
      <c r="A211" s="1853" t="s">
        <v>1410</v>
      </c>
      <c r="B211" s="1857" t="s">
        <v>2153</v>
      </c>
      <c r="C211" s="1858">
        <v>0.13700000000000001</v>
      </c>
      <c r="D211" s="1858">
        <v>0.13500000000000001</v>
      </c>
      <c r="E211" s="1858">
        <v>0.13600000000000001</v>
      </c>
      <c r="F211" s="1859">
        <v>0.1</v>
      </c>
    </row>
    <row r="212" spans="1:6" ht="14.25" thickBot="1">
      <c r="A212" s="1853" t="s">
        <v>1410</v>
      </c>
      <c r="B212" s="1857" t="s">
        <v>2154</v>
      </c>
      <c r="C212" s="1858">
        <v>0.15</v>
      </c>
      <c r="D212" s="1858">
        <v>0.15</v>
      </c>
      <c r="E212" s="1858">
        <v>0.14799999999999999</v>
      </c>
      <c r="F212" s="1859">
        <v>0.13600000000000001</v>
      </c>
    </row>
    <row r="213" spans="1:6" ht="14.25" thickBot="1">
      <c r="A213" s="1853" t="s">
        <v>1410</v>
      </c>
      <c r="B213" s="1857" t="s">
        <v>1148</v>
      </c>
      <c r="C213" s="1858">
        <v>0.15</v>
      </c>
      <c r="D213" s="1858">
        <v>0.15</v>
      </c>
      <c r="E213" s="1858">
        <v>0.15</v>
      </c>
      <c r="F213" s="1859">
        <v>0.13800000000000001</v>
      </c>
    </row>
    <row r="214" spans="1:6" ht="14.25" thickBot="1">
      <c r="A214" s="1853" t="s">
        <v>1410</v>
      </c>
      <c r="B214" s="1857" t="s">
        <v>1160</v>
      </c>
      <c r="C214" s="1858">
        <v>9.0999999999999998E-2</v>
      </c>
      <c r="D214" s="1858">
        <v>0.09</v>
      </c>
      <c r="E214" s="1858">
        <v>9.1999999999999998E-2</v>
      </c>
      <c r="F214" s="1866"/>
    </row>
    <row r="215" spans="1:6" ht="14.25" thickBot="1">
      <c r="A215" s="1853" t="s">
        <v>1410</v>
      </c>
      <c r="B215" s="1857" t="s">
        <v>2155</v>
      </c>
      <c r="C215" s="1858">
        <v>0.15</v>
      </c>
      <c r="D215" s="1858">
        <v>0.15</v>
      </c>
      <c r="E215" s="1858">
        <v>0.15</v>
      </c>
      <c r="F215" s="1859">
        <v>0.15</v>
      </c>
    </row>
    <row r="216" spans="1:6" ht="14.25" thickBot="1">
      <c r="A216" s="1853" t="s">
        <v>1410</v>
      </c>
      <c r="B216" s="1857" t="s">
        <v>1180</v>
      </c>
      <c r="C216" s="1858">
        <v>0.14699999999999999</v>
      </c>
      <c r="D216" s="1858">
        <v>0.14699999999999999</v>
      </c>
      <c r="E216" s="1858">
        <v>0.15</v>
      </c>
      <c r="F216" s="1859">
        <v>0.14000000000000001</v>
      </c>
    </row>
    <row r="217" spans="1:6" ht="14.25" thickBot="1">
      <c r="A217" s="1853" t="s">
        <v>1410</v>
      </c>
      <c r="B217" s="1857" t="s">
        <v>1190</v>
      </c>
      <c r="C217" s="1858">
        <v>0.15</v>
      </c>
      <c r="D217" s="1858">
        <v>0.15</v>
      </c>
      <c r="E217" s="1858">
        <v>0.15</v>
      </c>
      <c r="F217" s="1859">
        <v>0.15</v>
      </c>
    </row>
    <row r="218" spans="1:6" ht="14.25" thickBot="1">
      <c r="A218" s="1853" t="s">
        <v>1410</v>
      </c>
      <c r="B218" s="1857" t="s">
        <v>2156</v>
      </c>
      <c r="C218" s="1858">
        <v>0.15</v>
      </c>
      <c r="D218" s="1858">
        <v>0.15</v>
      </c>
      <c r="E218" s="1858">
        <v>0.15</v>
      </c>
      <c r="F218" s="1859">
        <v>0.15</v>
      </c>
    </row>
    <row r="219" spans="1:6" ht="14.25" thickBot="1">
      <c r="A219" s="1853" t="s">
        <v>1410</v>
      </c>
      <c r="B219" s="1857" t="s">
        <v>1210</v>
      </c>
      <c r="C219" s="1858">
        <v>0.15</v>
      </c>
      <c r="D219" s="1858">
        <v>0.15</v>
      </c>
      <c r="E219" s="1858">
        <v>0.15</v>
      </c>
      <c r="F219" s="1859">
        <v>0.14799999999999999</v>
      </c>
    </row>
    <row r="220" spans="1:6" ht="14.25" thickBot="1">
      <c r="A220" s="1853" t="s">
        <v>1410</v>
      </c>
      <c r="B220" s="1857" t="s">
        <v>2157</v>
      </c>
      <c r="C220" s="1858">
        <v>0.15</v>
      </c>
      <c r="D220" s="1858">
        <v>0.15</v>
      </c>
      <c r="E220" s="1858">
        <v>0.15</v>
      </c>
      <c r="F220" s="1859">
        <v>0.15</v>
      </c>
    </row>
    <row r="221" spans="1:6" ht="14.25" thickBot="1">
      <c r="A221" s="1853" t="s">
        <v>1410</v>
      </c>
      <c r="B221" s="1857" t="s">
        <v>1230</v>
      </c>
      <c r="C221" s="1858"/>
      <c r="D221" s="1867"/>
      <c r="E221" s="1867"/>
      <c r="F221" s="1859">
        <v>0.14799999999999999</v>
      </c>
    </row>
    <row r="222" spans="1:6" ht="14.25" thickBot="1">
      <c r="A222" s="1853" t="s">
        <v>1410</v>
      </c>
      <c r="B222" s="1857" t="s">
        <v>1240</v>
      </c>
      <c r="C222" s="1858"/>
      <c r="D222" s="1867"/>
      <c r="E222" s="1867"/>
      <c r="F222" s="1859">
        <v>0.1</v>
      </c>
    </row>
    <row r="223" spans="1:6" ht="14.25" thickBot="1">
      <c r="A223" s="1853" t="s">
        <v>1410</v>
      </c>
      <c r="B223" s="1857" t="s">
        <v>1250</v>
      </c>
      <c r="C223" s="1858"/>
      <c r="D223" s="1867"/>
      <c r="E223" s="1867"/>
      <c r="F223" s="1859">
        <v>0.15</v>
      </c>
    </row>
    <row r="224" spans="1:6" ht="14.25" thickBot="1">
      <c r="A224" s="1853" t="s">
        <v>1410</v>
      </c>
      <c r="B224" s="1857" t="s">
        <v>1260</v>
      </c>
      <c r="C224" s="1858"/>
      <c r="D224" s="1867"/>
      <c r="E224" s="1867"/>
      <c r="F224" s="1859">
        <v>0.15</v>
      </c>
    </row>
    <row r="225" spans="1:6" ht="14.25" thickBot="1">
      <c r="A225" s="1853" t="s">
        <v>1410</v>
      </c>
      <c r="B225" s="1857" t="s">
        <v>2158</v>
      </c>
      <c r="C225" s="1858">
        <v>0.15</v>
      </c>
      <c r="D225" s="1858">
        <v>0.15</v>
      </c>
      <c r="E225" s="1858">
        <v>0.15</v>
      </c>
      <c r="F225" s="1859">
        <v>0.15</v>
      </c>
    </row>
    <row r="226" spans="1:6" ht="14.25" thickBot="1">
      <c r="A226" s="1853" t="s">
        <v>1410</v>
      </c>
      <c r="B226" s="1857" t="s">
        <v>1278</v>
      </c>
      <c r="C226" s="1858">
        <v>0.15</v>
      </c>
      <c r="D226" s="1858">
        <v>0.15</v>
      </c>
      <c r="E226" s="1858">
        <v>0.15</v>
      </c>
      <c r="F226" s="1859">
        <v>0.14799999999999999</v>
      </c>
    </row>
    <row r="227" spans="1:6" ht="14.25" thickBot="1">
      <c r="A227" s="1853" t="s">
        <v>1410</v>
      </c>
      <c r="B227" s="1857" t="s">
        <v>2159</v>
      </c>
      <c r="C227" s="1858">
        <v>0.15</v>
      </c>
      <c r="D227" s="1858">
        <v>0.15</v>
      </c>
      <c r="E227" s="1858">
        <v>0.15</v>
      </c>
      <c r="F227" s="1859">
        <v>0.15</v>
      </c>
    </row>
    <row r="228" spans="1:6" ht="14.25" thickBot="1">
      <c r="A228" s="1853" t="s">
        <v>1410</v>
      </c>
      <c r="B228" s="1857" t="s">
        <v>1293</v>
      </c>
      <c r="C228" s="1858">
        <v>0.15</v>
      </c>
      <c r="D228" s="1858">
        <v>0.15</v>
      </c>
      <c r="E228" s="1858">
        <v>0.15</v>
      </c>
      <c r="F228" s="1859">
        <v>0.15</v>
      </c>
    </row>
    <row r="229" spans="1:6" ht="14.25" thickBot="1">
      <c r="A229" s="1853" t="s">
        <v>1410</v>
      </c>
      <c r="B229" s="1857" t="s">
        <v>1300</v>
      </c>
      <c r="C229" s="1858">
        <v>0.15</v>
      </c>
      <c r="D229" s="1858">
        <v>0.15</v>
      </c>
      <c r="E229" s="1858">
        <v>0.15</v>
      </c>
      <c r="F229" s="1866"/>
    </row>
    <row r="230" spans="1:6" ht="14.25" thickBot="1">
      <c r="A230" s="1853" t="s">
        <v>1410</v>
      </c>
      <c r="B230" s="1857" t="s">
        <v>1307</v>
      </c>
      <c r="C230" s="1858">
        <v>0.14499999999999999</v>
      </c>
      <c r="D230" s="1858">
        <v>0.14499999999999999</v>
      </c>
      <c r="E230" s="1858">
        <v>0.14399999999999999</v>
      </c>
      <c r="F230" s="1866"/>
    </row>
    <row r="231" spans="1:6" ht="14.25" thickBot="1">
      <c r="A231" s="1853" t="s">
        <v>1410</v>
      </c>
      <c r="B231" s="1857" t="s">
        <v>2160</v>
      </c>
      <c r="C231" s="1858">
        <v>0.128</v>
      </c>
      <c r="D231" s="1858">
        <v>0.125</v>
      </c>
      <c r="E231" s="1858">
        <v>0.13200000000000001</v>
      </c>
      <c r="F231" s="1866"/>
    </row>
    <row r="232" spans="1:6" ht="14.25" thickBot="1">
      <c r="A232" s="1853" t="s">
        <v>1410</v>
      </c>
      <c r="B232" s="1857" t="s">
        <v>2161</v>
      </c>
      <c r="C232" s="1858">
        <v>0.14499999999999999</v>
      </c>
      <c r="D232" s="1858">
        <v>0.14399999999999999</v>
      </c>
      <c r="E232" s="1858">
        <v>0.14599999999999999</v>
      </c>
      <c r="F232" s="1859">
        <v>0.13800000000000001</v>
      </c>
    </row>
    <row r="233" spans="1:6" ht="14.25" thickBot="1">
      <c r="A233" s="1853" t="s">
        <v>1410</v>
      </c>
      <c r="B233" s="1857" t="s">
        <v>2162</v>
      </c>
      <c r="C233" s="1858">
        <v>0.14499999999999999</v>
      </c>
      <c r="D233" s="1858">
        <v>0.14299999999999999</v>
      </c>
      <c r="E233" s="1858">
        <v>0.14199999999999999</v>
      </c>
      <c r="F233" s="1866"/>
    </row>
    <row r="234" spans="1:6" ht="14.25" thickBot="1">
      <c r="A234" s="1853" t="s">
        <v>1410</v>
      </c>
      <c r="B234" s="1857" t="s">
        <v>2163</v>
      </c>
      <c r="C234" s="1858">
        <v>0.14000000000000001</v>
      </c>
      <c r="D234" s="1858">
        <v>0.14000000000000001</v>
      </c>
      <c r="E234" s="1858">
        <v>0.14399999999999999</v>
      </c>
      <c r="F234" s="1866"/>
    </row>
    <row r="235" spans="1:6" ht="14.25" thickBot="1">
      <c r="A235" s="1853" t="s">
        <v>1410</v>
      </c>
      <c r="B235" s="1857" t="s">
        <v>2164</v>
      </c>
      <c r="C235" s="1858">
        <v>0.14099999999999999</v>
      </c>
      <c r="D235" s="1858">
        <v>0.14199999999999999</v>
      </c>
      <c r="E235" s="1858">
        <v>0.14499999999999999</v>
      </c>
      <c r="F235" s="1859">
        <v>0.15</v>
      </c>
    </row>
    <row r="236" spans="1:6" ht="14.25" thickBot="1">
      <c r="A236" s="1853" t="s">
        <v>1410</v>
      </c>
      <c r="B236" s="1857" t="s">
        <v>1342</v>
      </c>
      <c r="C236" s="1867"/>
      <c r="D236" s="1867"/>
      <c r="E236" s="1867"/>
      <c r="F236" s="1859">
        <v>0.14299999999999999</v>
      </c>
    </row>
    <row r="237" spans="1:6" ht="24.75" thickBot="1">
      <c r="A237" s="1853" t="s">
        <v>1410</v>
      </c>
      <c r="B237" s="1857" t="s">
        <v>2165</v>
      </c>
      <c r="C237" s="1867"/>
      <c r="D237" s="1867"/>
      <c r="E237" s="1867"/>
      <c r="F237" s="1859">
        <v>0.05</v>
      </c>
    </row>
    <row r="238" spans="1:6" ht="24.75" thickBot="1">
      <c r="A238" s="1853" t="s">
        <v>1410</v>
      </c>
      <c r="B238" s="1857" t="s">
        <v>2166</v>
      </c>
      <c r="C238" s="1867"/>
      <c r="D238" s="1867"/>
      <c r="E238" s="1867"/>
      <c r="F238" s="1859">
        <v>0.05</v>
      </c>
    </row>
    <row r="239" spans="1:6" ht="24.75" thickBot="1">
      <c r="A239" s="1853" t="s">
        <v>1410</v>
      </c>
      <c r="B239" s="1857" t="s">
        <v>2167</v>
      </c>
      <c r="C239" s="1867"/>
      <c r="D239" s="1867"/>
      <c r="E239" s="1867"/>
      <c r="F239" s="1859">
        <v>0.05</v>
      </c>
    </row>
    <row r="240" spans="1:6" ht="24.75" thickBot="1">
      <c r="A240" s="1853" t="s">
        <v>1410</v>
      </c>
      <c r="B240" s="1857" t="s">
        <v>2168</v>
      </c>
      <c r="C240" s="1867"/>
      <c r="D240" s="1867"/>
      <c r="E240" s="1867"/>
      <c r="F240" s="1859">
        <v>0.05</v>
      </c>
    </row>
    <row r="241" spans="1:6" ht="24.75" thickBot="1">
      <c r="A241" s="1853" t="s">
        <v>1410</v>
      </c>
      <c r="B241" s="1857" t="s">
        <v>2169</v>
      </c>
      <c r="C241" s="1867"/>
      <c r="D241" s="1867"/>
      <c r="E241" s="1867"/>
      <c r="F241" s="1859">
        <v>0.05</v>
      </c>
    </row>
    <row r="242" spans="1:6" ht="24.75" thickBot="1">
      <c r="A242" s="1853" t="s">
        <v>1410</v>
      </c>
      <c r="B242" s="1857" t="s">
        <v>2170</v>
      </c>
      <c r="C242" s="1867"/>
      <c r="D242" s="1867"/>
      <c r="E242" s="1867"/>
      <c r="F242" s="1859">
        <v>0.05</v>
      </c>
    </row>
    <row r="243" spans="1:6" ht="24.75" thickBot="1">
      <c r="A243" s="1853" t="s">
        <v>1410</v>
      </c>
      <c r="B243" s="1857" t="s">
        <v>2171</v>
      </c>
      <c r="C243" s="1867"/>
      <c r="D243" s="1867"/>
      <c r="E243" s="1867"/>
      <c r="F243" s="1859">
        <v>0.05</v>
      </c>
    </row>
    <row r="244" spans="1:6" ht="24.75" thickBot="1">
      <c r="A244" s="1861" t="s">
        <v>1410</v>
      </c>
      <c r="B244" s="1868" t="s">
        <v>2172</v>
      </c>
      <c r="C244" s="1864"/>
      <c r="D244" s="1864"/>
      <c r="E244" s="1864"/>
      <c r="F244" s="1869">
        <v>0.05</v>
      </c>
    </row>
    <row r="245" spans="1:6" ht="14.25" thickBot="1">
      <c r="A245" s="1853" t="s">
        <v>1412</v>
      </c>
      <c r="B245" s="1854" t="s">
        <v>2173</v>
      </c>
      <c r="C245" s="1855">
        <v>0.15</v>
      </c>
      <c r="D245" s="1855">
        <v>0.15</v>
      </c>
      <c r="E245" s="1855">
        <v>0.15</v>
      </c>
      <c r="F245" s="1856">
        <v>0.14299999999999999</v>
      </c>
    </row>
    <row r="246" spans="1:6" ht="14.25" thickBot="1">
      <c r="A246" s="1853" t="s">
        <v>1412</v>
      </c>
      <c r="B246" s="1857" t="s">
        <v>1075</v>
      </c>
      <c r="C246" s="1858">
        <v>0.15</v>
      </c>
      <c r="D246" s="1858">
        <v>0.15</v>
      </c>
      <c r="E246" s="1858">
        <v>0.15</v>
      </c>
      <c r="F246" s="1859">
        <v>0.114</v>
      </c>
    </row>
    <row r="247" spans="1:6" ht="14.25" thickBot="1">
      <c r="A247" s="1853" t="s">
        <v>1412</v>
      </c>
      <c r="B247" s="1857" t="s">
        <v>2174</v>
      </c>
      <c r="C247" s="1858">
        <v>0.15</v>
      </c>
      <c r="D247" s="1858">
        <v>0.15</v>
      </c>
      <c r="E247" s="1858">
        <v>0.15</v>
      </c>
      <c r="F247" s="1859">
        <v>0.15</v>
      </c>
    </row>
    <row r="248" spans="1:6" ht="14.25" thickBot="1">
      <c r="A248" s="1853" t="s">
        <v>1412</v>
      </c>
      <c r="B248" s="1857" t="s">
        <v>2175</v>
      </c>
      <c r="C248" s="1858">
        <v>0.15</v>
      </c>
      <c r="D248" s="1858">
        <v>0.15</v>
      </c>
      <c r="E248" s="1858">
        <v>0.15</v>
      </c>
      <c r="F248" s="1859">
        <v>0.14000000000000001</v>
      </c>
    </row>
    <row r="249" spans="1:6" ht="14.25" thickBot="1">
      <c r="A249" s="1853" t="s">
        <v>1412</v>
      </c>
      <c r="B249" s="1857" t="s">
        <v>2176</v>
      </c>
      <c r="C249" s="1858">
        <v>0.15</v>
      </c>
      <c r="D249" s="1858">
        <v>0.14899999999999999</v>
      </c>
      <c r="E249" s="1858">
        <v>0.15</v>
      </c>
      <c r="F249" s="1859">
        <v>0.1</v>
      </c>
    </row>
    <row r="250" spans="1:6" ht="14.25" thickBot="1">
      <c r="A250" s="1853" t="s">
        <v>1412</v>
      </c>
      <c r="B250" s="1857" t="s">
        <v>2177</v>
      </c>
      <c r="C250" s="1858">
        <v>0.15</v>
      </c>
      <c r="D250" s="1858">
        <v>0.15</v>
      </c>
      <c r="E250" s="1858">
        <v>0.15</v>
      </c>
      <c r="F250" s="1859">
        <v>0.14399999999999999</v>
      </c>
    </row>
    <row r="251" spans="1:6" ht="14.25" thickBot="1">
      <c r="A251" s="1853" t="s">
        <v>1412</v>
      </c>
      <c r="B251" s="1857" t="s">
        <v>1138</v>
      </c>
      <c r="C251" s="1858">
        <v>0.15</v>
      </c>
      <c r="D251" s="1858">
        <v>0.15</v>
      </c>
      <c r="E251" s="1858">
        <v>0.15</v>
      </c>
      <c r="F251" s="1859">
        <v>0.14299999999999999</v>
      </c>
    </row>
    <row r="252" spans="1:6" ht="14.25" thickBot="1">
      <c r="A252" s="1853" t="s">
        <v>1412</v>
      </c>
      <c r="B252" s="1857" t="s">
        <v>1149</v>
      </c>
      <c r="C252" s="1858">
        <v>0.15</v>
      </c>
      <c r="D252" s="1858">
        <v>0.15</v>
      </c>
      <c r="E252" s="1858">
        <v>0.15</v>
      </c>
      <c r="F252" s="1859">
        <v>0.1</v>
      </c>
    </row>
    <row r="253" spans="1:6" ht="14.25" thickBot="1">
      <c r="A253" s="1853" t="s">
        <v>1412</v>
      </c>
      <c r="B253" s="1857" t="s">
        <v>1161</v>
      </c>
      <c r="C253" s="1858">
        <v>0.15</v>
      </c>
      <c r="D253" s="1858">
        <v>0.15</v>
      </c>
      <c r="E253" s="1858">
        <v>0.15</v>
      </c>
      <c r="F253" s="1859">
        <v>0.1</v>
      </c>
    </row>
    <row r="254" spans="1:6" ht="14.25" thickBot="1">
      <c r="A254" s="1853" t="s">
        <v>1412</v>
      </c>
      <c r="B254" s="1857" t="s">
        <v>1171</v>
      </c>
      <c r="C254" s="1867"/>
      <c r="D254" s="1867"/>
      <c r="E254" s="1867"/>
      <c r="F254" s="1859">
        <v>0.15</v>
      </c>
    </row>
    <row r="255" spans="1:6" ht="14.25" thickBot="1">
      <c r="A255" s="1853" t="s">
        <v>1412</v>
      </c>
      <c r="B255" s="1857" t="s">
        <v>1181</v>
      </c>
      <c r="C255" s="1867"/>
      <c r="D255" s="1867"/>
      <c r="E255" s="1867"/>
      <c r="F255" s="1859">
        <v>0.14299999999999999</v>
      </c>
    </row>
    <row r="256" spans="1:6" ht="14.25" thickBot="1">
      <c r="A256" s="1853" t="s">
        <v>1412</v>
      </c>
      <c r="B256" s="1857" t="s">
        <v>2178</v>
      </c>
      <c r="C256" s="1858">
        <v>0.14599999999999999</v>
      </c>
      <c r="D256" s="1858">
        <v>0.14699999999999999</v>
      </c>
      <c r="E256" s="1858">
        <v>0.15</v>
      </c>
      <c r="F256" s="1859">
        <v>0.13200000000000001</v>
      </c>
    </row>
    <row r="257" spans="1:6" ht="14.25" thickBot="1">
      <c r="A257" s="1853" t="s">
        <v>1412</v>
      </c>
      <c r="B257" s="1857" t="s">
        <v>1201</v>
      </c>
      <c r="C257" s="1858">
        <v>0.15</v>
      </c>
      <c r="D257" s="1858">
        <v>0.15</v>
      </c>
      <c r="E257" s="1858">
        <v>0.15</v>
      </c>
      <c r="F257" s="1859">
        <v>0.13900000000000001</v>
      </c>
    </row>
    <row r="258" spans="1:6" ht="14.25" thickBot="1">
      <c r="A258" s="1853" t="s">
        <v>1412</v>
      </c>
      <c r="B258" s="1857" t="s">
        <v>1211</v>
      </c>
      <c r="C258" s="1858">
        <v>0.15</v>
      </c>
      <c r="D258" s="1858">
        <v>0.15</v>
      </c>
      <c r="E258" s="1858">
        <v>0.15</v>
      </c>
      <c r="F258" s="1859">
        <v>0.13</v>
      </c>
    </row>
    <row r="259" spans="1:6" ht="14.25" thickBot="1">
      <c r="A259" s="1853" t="s">
        <v>1412</v>
      </c>
      <c r="B259" s="1857" t="s">
        <v>2179</v>
      </c>
      <c r="C259" s="1858">
        <v>0.14799999999999999</v>
      </c>
      <c r="D259" s="1858">
        <v>0.14899999999999999</v>
      </c>
      <c r="E259" s="1858">
        <v>0.15</v>
      </c>
      <c r="F259" s="1859">
        <v>0.13700000000000001</v>
      </c>
    </row>
    <row r="260" spans="1:6" ht="14.25" thickBot="1">
      <c r="A260" s="1853" t="s">
        <v>1412</v>
      </c>
      <c r="B260" s="1857" t="s">
        <v>1231</v>
      </c>
      <c r="C260" s="1858">
        <v>0.15</v>
      </c>
      <c r="D260" s="1858">
        <v>0.15</v>
      </c>
      <c r="E260" s="1858">
        <v>0.15</v>
      </c>
      <c r="F260" s="1859">
        <v>0.14199999999999999</v>
      </c>
    </row>
    <row r="261" spans="1:6" ht="14.25" thickBot="1">
      <c r="A261" s="1853" t="s">
        <v>1412</v>
      </c>
      <c r="B261" s="1857" t="s">
        <v>1241</v>
      </c>
      <c r="C261" s="1858">
        <v>0.15</v>
      </c>
      <c r="D261" s="1858">
        <v>0.15</v>
      </c>
      <c r="E261" s="1858">
        <v>0.14899999999999999</v>
      </c>
      <c r="F261" s="1859">
        <v>0.14799999999999999</v>
      </c>
    </row>
    <row r="262" spans="1:6" ht="14.25" thickBot="1">
      <c r="A262" s="1853" t="s">
        <v>1412</v>
      </c>
      <c r="B262" s="1857" t="s">
        <v>1251</v>
      </c>
      <c r="C262" s="1858">
        <v>0.15</v>
      </c>
      <c r="D262" s="1858">
        <v>0.15</v>
      </c>
      <c r="E262" s="1858">
        <v>0.15</v>
      </c>
      <c r="F262" s="1866"/>
    </row>
    <row r="263" spans="1:6" ht="14.25" thickBot="1">
      <c r="A263" s="1853" t="s">
        <v>1412</v>
      </c>
      <c r="B263" s="1857" t="s">
        <v>2180</v>
      </c>
      <c r="C263" s="1858">
        <v>0.14899999999999999</v>
      </c>
      <c r="D263" s="1858">
        <v>0.14899999999999999</v>
      </c>
      <c r="E263" s="1858">
        <v>0.15</v>
      </c>
      <c r="F263" s="1859">
        <v>0.13</v>
      </c>
    </row>
    <row r="264" spans="1:6" ht="14.25" thickBot="1">
      <c r="A264" s="1853" t="s">
        <v>1412</v>
      </c>
      <c r="B264" s="1857" t="s">
        <v>1270</v>
      </c>
      <c r="C264" s="1858">
        <v>0.14799999999999999</v>
      </c>
      <c r="D264" s="1858">
        <v>0.14699999999999999</v>
      </c>
      <c r="E264" s="1858">
        <v>0.15</v>
      </c>
      <c r="F264" s="1859">
        <v>7.8E-2</v>
      </c>
    </row>
    <row r="265" spans="1:6" ht="14.25" thickBot="1">
      <c r="A265" s="1853" t="s">
        <v>1412</v>
      </c>
      <c r="B265" s="1857" t="s">
        <v>1279</v>
      </c>
      <c r="C265" s="1858">
        <v>0.15</v>
      </c>
      <c r="D265" s="1858">
        <v>0.15</v>
      </c>
      <c r="E265" s="1858">
        <v>0.15</v>
      </c>
      <c r="F265" s="1859">
        <v>7.3999999999999996E-2</v>
      </c>
    </row>
    <row r="266" spans="1:6" ht="14.25" thickBot="1">
      <c r="A266" s="1853" t="s">
        <v>1412</v>
      </c>
      <c r="B266" s="1857" t="s">
        <v>1287</v>
      </c>
      <c r="C266" s="1858">
        <v>0.14699999999999999</v>
      </c>
      <c r="D266" s="1858">
        <v>0.14699999999999999</v>
      </c>
      <c r="E266" s="1858">
        <v>0.15</v>
      </c>
      <c r="F266" s="1859">
        <v>0.14299999999999999</v>
      </c>
    </row>
    <row r="267" spans="1:6" ht="14.25" thickBot="1">
      <c r="A267" s="1853" t="s">
        <v>1412</v>
      </c>
      <c r="B267" s="1857" t="s">
        <v>1294</v>
      </c>
      <c r="C267" s="1858">
        <v>0.14199999999999999</v>
      </c>
      <c r="D267" s="1858">
        <v>0.14299999999999999</v>
      </c>
      <c r="E267" s="1858">
        <v>0.15</v>
      </c>
      <c r="F267" s="1866"/>
    </row>
    <row r="268" spans="1:6" ht="14.25" thickBot="1">
      <c r="A268" s="1853" t="s">
        <v>1412</v>
      </c>
      <c r="B268" s="1857" t="s">
        <v>2181</v>
      </c>
      <c r="C268" s="1858">
        <v>0.15</v>
      </c>
      <c r="D268" s="1858">
        <v>0.15</v>
      </c>
      <c r="E268" s="1858">
        <v>0.15</v>
      </c>
      <c r="F268" s="1859">
        <v>0.13</v>
      </c>
    </row>
    <row r="269" spans="1:6" ht="14.25" thickBot="1">
      <c r="A269" s="1853" t="s">
        <v>1412</v>
      </c>
      <c r="B269" s="1857" t="s">
        <v>1308</v>
      </c>
      <c r="C269" s="1858">
        <v>0.15</v>
      </c>
      <c r="D269" s="1858">
        <v>0.15</v>
      </c>
      <c r="E269" s="1858">
        <v>0.15</v>
      </c>
      <c r="F269" s="1859">
        <v>0.14299999999999999</v>
      </c>
    </row>
    <row r="270" spans="1:6" ht="14.25" thickBot="1">
      <c r="A270" s="1853" t="s">
        <v>1412</v>
      </c>
      <c r="B270" s="1857" t="s">
        <v>1315</v>
      </c>
      <c r="C270" s="1858">
        <v>0.14499999999999999</v>
      </c>
      <c r="D270" s="1858">
        <v>0.14499999999999999</v>
      </c>
      <c r="E270" s="1858">
        <v>0.15</v>
      </c>
      <c r="F270" s="1859">
        <v>0.14699999999999999</v>
      </c>
    </row>
    <row r="271" spans="1:6" ht="14.25" thickBot="1">
      <c r="A271" s="1853" t="s">
        <v>1412</v>
      </c>
      <c r="B271" s="1857" t="s">
        <v>1322</v>
      </c>
      <c r="C271" s="1858">
        <v>0.15</v>
      </c>
      <c r="D271" s="1858">
        <v>0.15</v>
      </c>
      <c r="E271" s="1858">
        <v>0.15</v>
      </c>
      <c r="F271" s="1859">
        <v>0.13800000000000001</v>
      </c>
    </row>
    <row r="272" spans="1:6" ht="14.25" thickBot="1">
      <c r="A272" s="1853" t="s">
        <v>1412</v>
      </c>
      <c r="B272" s="1857" t="s">
        <v>1329</v>
      </c>
      <c r="C272" s="1867"/>
      <c r="D272" s="1867"/>
      <c r="E272" s="1867"/>
      <c r="F272" s="1859">
        <v>0.14000000000000001</v>
      </c>
    </row>
    <row r="273" spans="1:6" ht="14.25" thickBot="1">
      <c r="A273" s="1853" t="s">
        <v>1412</v>
      </c>
      <c r="B273" s="1857" t="s">
        <v>2182</v>
      </c>
      <c r="C273" s="1858">
        <v>0.14199999999999999</v>
      </c>
      <c r="D273" s="1858">
        <v>0.14299999999999999</v>
      </c>
      <c r="E273" s="1858">
        <v>0.15</v>
      </c>
      <c r="F273" s="1859">
        <v>0.1</v>
      </c>
    </row>
    <row r="274" spans="1:6" ht="14.25" thickBot="1">
      <c r="A274" s="1853" t="s">
        <v>1412</v>
      </c>
      <c r="B274" s="1857" t="s">
        <v>2183</v>
      </c>
      <c r="C274" s="1858">
        <v>0.14799999999999999</v>
      </c>
      <c r="D274" s="1858">
        <v>0.14799999999999999</v>
      </c>
      <c r="E274" s="1858">
        <v>0.15</v>
      </c>
      <c r="F274" s="1859">
        <v>6.7000000000000004E-2</v>
      </c>
    </row>
    <row r="275" spans="1:6" ht="14.25" thickBot="1">
      <c r="A275" s="1853" t="s">
        <v>1412</v>
      </c>
      <c r="B275" s="1857" t="s">
        <v>2184</v>
      </c>
      <c r="C275" s="1858">
        <v>0.15</v>
      </c>
      <c r="D275" s="1858">
        <v>0.15</v>
      </c>
      <c r="E275" s="1858">
        <v>0.15</v>
      </c>
      <c r="F275" s="1859">
        <v>0.15</v>
      </c>
    </row>
    <row r="276" spans="1:6" ht="14.25" thickBot="1">
      <c r="A276" s="1853" t="s">
        <v>1412</v>
      </c>
      <c r="B276" s="1857" t="s">
        <v>2185</v>
      </c>
      <c r="C276" s="1858">
        <v>0.14499999999999999</v>
      </c>
      <c r="D276" s="1858">
        <v>0.14299999999999999</v>
      </c>
      <c r="E276" s="1858">
        <v>0.15</v>
      </c>
      <c r="F276" s="1859">
        <v>5.8999999999999997E-2</v>
      </c>
    </row>
    <row r="277" spans="1:6" ht="14.25" thickBot="1">
      <c r="A277" s="1853" t="s">
        <v>1412</v>
      </c>
      <c r="B277" s="1857" t="s">
        <v>2186</v>
      </c>
      <c r="C277" s="1858">
        <v>0.15</v>
      </c>
      <c r="D277" s="1858">
        <v>0.15</v>
      </c>
      <c r="E277" s="1858">
        <v>0.15</v>
      </c>
      <c r="F277" s="1859">
        <v>0.121</v>
      </c>
    </row>
    <row r="278" spans="1:6" ht="14.25" thickBot="1">
      <c r="A278" s="1853" t="s">
        <v>1412</v>
      </c>
      <c r="B278" s="1857" t="s">
        <v>2187</v>
      </c>
      <c r="C278" s="1858">
        <v>0.15</v>
      </c>
      <c r="D278" s="1858">
        <v>0.15</v>
      </c>
      <c r="E278" s="1858">
        <v>0.15</v>
      </c>
      <c r="F278" s="1859">
        <v>0.13800000000000001</v>
      </c>
    </row>
    <row r="279" spans="1:6" ht="24.75" thickBot="1">
      <c r="A279" s="1853" t="s">
        <v>1412</v>
      </c>
      <c r="B279" s="1857" t="s">
        <v>2188</v>
      </c>
      <c r="C279" s="1867"/>
      <c r="D279" s="1867"/>
      <c r="E279" s="1867"/>
      <c r="F279" s="1859">
        <v>0.05</v>
      </c>
    </row>
    <row r="280" spans="1:6" ht="24.75" thickBot="1">
      <c r="A280" s="1853" t="s">
        <v>1412</v>
      </c>
      <c r="B280" s="1857" t="s">
        <v>2189</v>
      </c>
      <c r="C280" s="1867"/>
      <c r="D280" s="1867"/>
      <c r="E280" s="1867"/>
      <c r="F280" s="1859">
        <v>0.05</v>
      </c>
    </row>
    <row r="281" spans="1:6" ht="24.75" thickBot="1">
      <c r="A281" s="1853" t="s">
        <v>1412</v>
      </c>
      <c r="B281" s="1857" t="s">
        <v>2190</v>
      </c>
      <c r="C281" s="1867"/>
      <c r="D281" s="1867"/>
      <c r="E281" s="1867"/>
      <c r="F281" s="1859">
        <v>0.05</v>
      </c>
    </row>
    <row r="282" spans="1:6" ht="24.75" thickBot="1">
      <c r="A282" s="1853" t="s">
        <v>1412</v>
      </c>
      <c r="B282" s="1857" t="s">
        <v>2191</v>
      </c>
      <c r="C282" s="1867"/>
      <c r="D282" s="1867"/>
      <c r="E282" s="1867"/>
      <c r="F282" s="1859">
        <v>0.05</v>
      </c>
    </row>
    <row r="283" spans="1:6" ht="24.75" thickBot="1">
      <c r="A283" s="1853" t="s">
        <v>1412</v>
      </c>
      <c r="B283" s="1857" t="s">
        <v>2192</v>
      </c>
      <c r="C283" s="1867"/>
      <c r="D283" s="1867"/>
      <c r="E283" s="1867"/>
      <c r="F283" s="1859">
        <v>0.05</v>
      </c>
    </row>
    <row r="284" spans="1:6" ht="24.75" thickBot="1">
      <c r="A284" s="1853" t="s">
        <v>1412</v>
      </c>
      <c r="B284" s="1857" t="s">
        <v>2193</v>
      </c>
      <c r="C284" s="1867"/>
      <c r="D284" s="1867"/>
      <c r="E284" s="1867"/>
      <c r="F284" s="1859">
        <v>0.05</v>
      </c>
    </row>
    <row r="285" spans="1:6" ht="24.75" thickBot="1">
      <c r="A285" s="1853" t="s">
        <v>1412</v>
      </c>
      <c r="B285" s="1857" t="s">
        <v>2194</v>
      </c>
      <c r="C285" s="1867"/>
      <c r="D285" s="1867"/>
      <c r="E285" s="1867"/>
      <c r="F285" s="1859">
        <v>0.05</v>
      </c>
    </row>
    <row r="286" spans="1:6" ht="24.75" thickBot="1">
      <c r="A286" s="1853" t="s">
        <v>1412</v>
      </c>
      <c r="B286" s="1857" t="s">
        <v>2195</v>
      </c>
      <c r="C286" s="1867"/>
      <c r="D286" s="1867"/>
      <c r="E286" s="1867"/>
      <c r="F286" s="1859">
        <v>0.05</v>
      </c>
    </row>
    <row r="287" spans="1:6" ht="24.75" thickBot="1">
      <c r="A287" s="1853" t="s">
        <v>1412</v>
      </c>
      <c r="B287" s="1857" t="s">
        <v>2196</v>
      </c>
      <c r="C287" s="1867"/>
      <c r="D287" s="1867"/>
      <c r="E287" s="1867"/>
      <c r="F287" s="1859">
        <v>0.05</v>
      </c>
    </row>
    <row r="288" spans="1:6" ht="24.75" thickBot="1">
      <c r="A288" s="1853" t="s">
        <v>1412</v>
      </c>
      <c r="B288" s="1857" t="s">
        <v>2197</v>
      </c>
      <c r="C288" s="1867"/>
      <c r="D288" s="1867"/>
      <c r="E288" s="1867"/>
      <c r="F288" s="1859">
        <v>0.05</v>
      </c>
    </row>
    <row r="289" spans="1:6" ht="24.75" thickBot="1">
      <c r="A289" s="1861" t="s">
        <v>1412</v>
      </c>
      <c r="B289" s="1868" t="s">
        <v>2198</v>
      </c>
      <c r="C289" s="1864"/>
      <c r="D289" s="1864"/>
      <c r="E289" s="1864"/>
      <c r="F289" s="1869">
        <v>0.05</v>
      </c>
    </row>
    <row r="290" spans="1:6" ht="14.25" thickBot="1">
      <c r="A290" s="1853" t="s">
        <v>1416</v>
      </c>
      <c r="B290" s="1854" t="s">
        <v>2199</v>
      </c>
      <c r="C290" s="1855">
        <v>0.15</v>
      </c>
      <c r="D290" s="1855">
        <v>0.15</v>
      </c>
      <c r="E290" s="1855">
        <v>0.15</v>
      </c>
      <c r="F290" s="1877"/>
    </row>
    <row r="291" spans="1:6" ht="14.25" thickBot="1">
      <c r="A291" s="1853" t="s">
        <v>1416</v>
      </c>
      <c r="B291" s="1857" t="s">
        <v>1076</v>
      </c>
      <c r="C291" s="1858">
        <v>0.15</v>
      </c>
      <c r="D291" s="1858">
        <v>0.15</v>
      </c>
      <c r="E291" s="1858">
        <v>0.15</v>
      </c>
      <c r="F291" s="1866"/>
    </row>
    <row r="292" spans="1:6" ht="14.25" thickBot="1">
      <c r="A292" s="1853" t="s">
        <v>1416</v>
      </c>
      <c r="B292" s="1857" t="s">
        <v>2200</v>
      </c>
      <c r="C292" s="1858">
        <v>0.15</v>
      </c>
      <c r="D292" s="1858">
        <v>0.15</v>
      </c>
      <c r="E292" s="1858">
        <v>0.15</v>
      </c>
      <c r="F292" s="1859">
        <v>0.14699999999999999</v>
      </c>
    </row>
    <row r="293" spans="1:6" ht="14.25" thickBot="1">
      <c r="A293" s="1853" t="s">
        <v>1416</v>
      </c>
      <c r="B293" s="1857" t="s">
        <v>2201</v>
      </c>
      <c r="C293" s="1867"/>
      <c r="D293" s="1867"/>
      <c r="E293" s="1867"/>
      <c r="F293" s="1859">
        <v>0.1</v>
      </c>
    </row>
    <row r="294" spans="1:6" ht="14.25" thickBot="1">
      <c r="A294" s="1853" t="s">
        <v>1416</v>
      </c>
      <c r="B294" s="1857" t="s">
        <v>2202</v>
      </c>
      <c r="C294" s="1858">
        <v>0.15</v>
      </c>
      <c r="D294" s="1858">
        <v>0.15</v>
      </c>
      <c r="E294" s="1858">
        <v>0.15</v>
      </c>
      <c r="F294" s="1859">
        <v>0.15</v>
      </c>
    </row>
    <row r="295" spans="1:6" ht="14.25" thickBot="1">
      <c r="A295" s="1853" t="s">
        <v>1416</v>
      </c>
      <c r="B295" s="1857" t="s">
        <v>1117</v>
      </c>
      <c r="C295" s="1858">
        <v>0.15</v>
      </c>
      <c r="D295" s="1858">
        <v>0.15</v>
      </c>
      <c r="E295" s="1858">
        <v>0.15</v>
      </c>
      <c r="F295" s="1859">
        <v>0.15</v>
      </c>
    </row>
    <row r="296" spans="1:6" ht="14.25" thickBot="1">
      <c r="A296" s="1853" t="s">
        <v>1416</v>
      </c>
      <c r="B296" s="1857" t="s">
        <v>2203</v>
      </c>
      <c r="C296" s="1858">
        <v>0.15</v>
      </c>
      <c r="D296" s="1858">
        <v>0.15</v>
      </c>
      <c r="E296" s="1858">
        <v>0.15</v>
      </c>
      <c r="F296" s="1859">
        <v>0.15</v>
      </c>
    </row>
    <row r="297" spans="1:6" ht="14.25" thickBot="1">
      <c r="A297" s="1853" t="s">
        <v>1416</v>
      </c>
      <c r="B297" s="1857" t="s">
        <v>2204</v>
      </c>
      <c r="C297" s="1858">
        <v>0.14799999999999999</v>
      </c>
      <c r="D297" s="1858">
        <v>0.14899999999999999</v>
      </c>
      <c r="E297" s="1858">
        <v>0.15</v>
      </c>
      <c r="F297" s="1859">
        <v>0.13700000000000001</v>
      </c>
    </row>
    <row r="298" spans="1:6" ht="14.25" thickBot="1">
      <c r="A298" s="1853" t="s">
        <v>1416</v>
      </c>
      <c r="B298" s="1857" t="s">
        <v>1150</v>
      </c>
      <c r="C298" s="1858">
        <v>0.13400000000000001</v>
      </c>
      <c r="D298" s="1858">
        <v>0.13400000000000001</v>
      </c>
      <c r="E298" s="1858">
        <v>0.14499999999999999</v>
      </c>
      <c r="F298" s="1859">
        <v>0.14799999999999999</v>
      </c>
    </row>
    <row r="299" spans="1:6" ht="14.25" thickBot="1">
      <c r="A299" s="1853" t="s">
        <v>1416</v>
      </c>
      <c r="B299" s="1857" t="s">
        <v>1162</v>
      </c>
      <c r="C299" s="1858">
        <v>0.15</v>
      </c>
      <c r="D299" s="1858">
        <v>0.15</v>
      </c>
      <c r="E299" s="1858">
        <v>0.15</v>
      </c>
      <c r="F299" s="1866"/>
    </row>
    <row r="300" spans="1:6" ht="14.25" thickBot="1">
      <c r="A300" s="1853" t="s">
        <v>1416</v>
      </c>
      <c r="B300" s="1857" t="s">
        <v>2205</v>
      </c>
      <c r="C300" s="1858">
        <v>0.15</v>
      </c>
      <c r="D300" s="1858">
        <v>0.15</v>
      </c>
      <c r="E300" s="1858">
        <v>0.15</v>
      </c>
      <c r="F300" s="1859">
        <v>0.15</v>
      </c>
    </row>
    <row r="301" spans="1:6" ht="14.25" thickBot="1">
      <c r="A301" s="1853" t="s">
        <v>1416</v>
      </c>
      <c r="B301" s="1857" t="s">
        <v>1182</v>
      </c>
      <c r="C301" s="1858">
        <v>0.15</v>
      </c>
      <c r="D301" s="1858">
        <v>0.15</v>
      </c>
      <c r="E301" s="1858">
        <v>0.15</v>
      </c>
      <c r="F301" s="1866"/>
    </row>
    <row r="302" spans="1:6" ht="14.25" thickBot="1">
      <c r="A302" s="1853" t="s">
        <v>1416</v>
      </c>
      <c r="B302" s="1857" t="s">
        <v>2206</v>
      </c>
      <c r="C302" s="1858">
        <v>0.15</v>
      </c>
      <c r="D302" s="1858">
        <v>0.15</v>
      </c>
      <c r="E302" s="1858">
        <v>0.15</v>
      </c>
      <c r="F302" s="1859">
        <v>0.15</v>
      </c>
    </row>
    <row r="303" spans="1:6" ht="14.25" thickBot="1">
      <c r="A303" s="1853" t="s">
        <v>1416</v>
      </c>
      <c r="B303" s="1857" t="s">
        <v>1202</v>
      </c>
      <c r="C303" s="1858">
        <v>0.15</v>
      </c>
      <c r="D303" s="1858">
        <v>0.15</v>
      </c>
      <c r="E303" s="1858">
        <v>0.15</v>
      </c>
      <c r="F303" s="1859">
        <v>0.15</v>
      </c>
    </row>
    <row r="304" spans="1:6" ht="14.25" thickBot="1">
      <c r="A304" s="1853" t="s">
        <v>1416</v>
      </c>
      <c r="B304" s="1857" t="s">
        <v>1212</v>
      </c>
      <c r="C304" s="1858">
        <v>0.15</v>
      </c>
      <c r="D304" s="1858">
        <v>0.15</v>
      </c>
      <c r="E304" s="1858">
        <v>0.15</v>
      </c>
      <c r="F304" s="1866"/>
    </row>
    <row r="305" spans="1:6" ht="14.25" thickBot="1">
      <c r="A305" s="1853" t="s">
        <v>1416</v>
      </c>
      <c r="B305" s="1857" t="s">
        <v>2207</v>
      </c>
      <c r="C305" s="1858">
        <v>0.15</v>
      </c>
      <c r="D305" s="1858">
        <v>0.15</v>
      </c>
      <c r="E305" s="1858">
        <v>0.15</v>
      </c>
      <c r="F305" s="1859">
        <v>0.14000000000000001</v>
      </c>
    </row>
    <row r="306" spans="1:6" ht="14.25" thickBot="1">
      <c r="A306" s="1853" t="s">
        <v>1416</v>
      </c>
      <c r="B306" s="1857" t="s">
        <v>1232</v>
      </c>
      <c r="C306" s="1858">
        <v>0.15</v>
      </c>
      <c r="D306" s="1858">
        <v>0.15</v>
      </c>
      <c r="E306" s="1858">
        <v>0.15</v>
      </c>
      <c r="F306" s="1866"/>
    </row>
    <row r="307" spans="1:6" ht="14.25" thickBot="1">
      <c r="A307" s="1853" t="s">
        <v>1416</v>
      </c>
      <c r="B307" s="1857" t="s">
        <v>2208</v>
      </c>
      <c r="C307" s="1858">
        <v>0.15</v>
      </c>
      <c r="D307" s="1858">
        <v>0.15</v>
      </c>
      <c r="E307" s="1858">
        <v>0.15</v>
      </c>
      <c r="F307" s="1859">
        <v>0.14299999999999999</v>
      </c>
    </row>
    <row r="308" spans="1:6" ht="14.25" thickBot="1">
      <c r="A308" s="1853" t="s">
        <v>1416</v>
      </c>
      <c r="B308" s="1857" t="s">
        <v>1252</v>
      </c>
      <c r="C308" s="1858">
        <v>0.15</v>
      </c>
      <c r="D308" s="1858">
        <v>0.15</v>
      </c>
      <c r="E308" s="1858">
        <v>0.15</v>
      </c>
      <c r="F308" s="1859">
        <v>0.15</v>
      </c>
    </row>
    <row r="309" spans="1:6" ht="14.25" thickBot="1">
      <c r="A309" s="1853" t="s">
        <v>1416</v>
      </c>
      <c r="B309" s="1857" t="s">
        <v>1262</v>
      </c>
      <c r="C309" s="1858">
        <v>0.15</v>
      </c>
      <c r="D309" s="1858">
        <v>0.15</v>
      </c>
      <c r="E309" s="1858">
        <v>0.15</v>
      </c>
      <c r="F309" s="1866"/>
    </row>
    <row r="310" spans="1:6" ht="14.25" thickBot="1">
      <c r="A310" s="1853" t="s">
        <v>1416</v>
      </c>
      <c r="B310" s="1857" t="s">
        <v>2209</v>
      </c>
      <c r="C310" s="1858">
        <v>0.15</v>
      </c>
      <c r="D310" s="1858">
        <v>0.15</v>
      </c>
      <c r="E310" s="1858">
        <v>0.15</v>
      </c>
      <c r="F310" s="1859">
        <v>0.13700000000000001</v>
      </c>
    </row>
    <row r="311" spans="1:6" ht="14.25" thickBot="1">
      <c r="A311" s="1853" t="s">
        <v>1416</v>
      </c>
      <c r="B311" s="1857" t="s">
        <v>2210</v>
      </c>
      <c r="C311" s="1858">
        <v>0.15</v>
      </c>
      <c r="D311" s="1858">
        <v>0.15</v>
      </c>
      <c r="E311" s="1858">
        <v>0.15</v>
      </c>
      <c r="F311" s="1859">
        <v>0.15</v>
      </c>
    </row>
    <row r="312" spans="1:6" ht="14.25" thickBot="1">
      <c r="A312" s="1853" t="s">
        <v>1416</v>
      </c>
      <c r="B312" s="1857" t="s">
        <v>1288</v>
      </c>
      <c r="C312" s="1858">
        <v>0.15</v>
      </c>
      <c r="D312" s="1858">
        <v>0.15</v>
      </c>
      <c r="E312" s="1858">
        <v>0.15</v>
      </c>
      <c r="F312" s="1859">
        <v>0.1</v>
      </c>
    </row>
    <row r="313" spans="1:6" ht="14.25" thickBot="1">
      <c r="A313" s="1853" t="s">
        <v>1416</v>
      </c>
      <c r="B313" s="1857" t="s">
        <v>2211</v>
      </c>
      <c r="C313" s="1858">
        <v>0.15</v>
      </c>
      <c r="D313" s="1858">
        <v>0.15</v>
      </c>
      <c r="E313" s="1858">
        <v>0.15</v>
      </c>
      <c r="F313" s="1859">
        <v>0.15</v>
      </c>
    </row>
    <row r="314" spans="1:6" ht="24.75" thickBot="1">
      <c r="A314" s="1853" t="s">
        <v>1416</v>
      </c>
      <c r="B314" s="1857" t="s">
        <v>2212</v>
      </c>
      <c r="C314" s="1867"/>
      <c r="D314" s="1867"/>
      <c r="E314" s="1867"/>
      <c r="F314" s="1859">
        <v>0.05</v>
      </c>
    </row>
    <row r="315" spans="1:6" ht="24.75" thickBot="1">
      <c r="A315" s="1853" t="s">
        <v>1416</v>
      </c>
      <c r="B315" s="1857" t="s">
        <v>2213</v>
      </c>
      <c r="C315" s="1867"/>
      <c r="D315" s="1867"/>
      <c r="E315" s="1867"/>
      <c r="F315" s="1859">
        <v>0.05</v>
      </c>
    </row>
    <row r="316" spans="1:6" ht="24.75" thickBot="1">
      <c r="A316" s="1861" t="s">
        <v>1416</v>
      </c>
      <c r="B316" s="1868" t="s">
        <v>2214</v>
      </c>
      <c r="C316" s="1864"/>
      <c r="D316" s="1864"/>
      <c r="E316" s="1864"/>
      <c r="F316" s="1869">
        <v>0.05</v>
      </c>
    </row>
    <row r="317" spans="1:6" ht="14.25" thickBot="1">
      <c r="A317" s="1853" t="s">
        <v>2215</v>
      </c>
      <c r="B317" s="1854" t="s">
        <v>2216</v>
      </c>
      <c r="C317" s="1855">
        <v>0.15</v>
      </c>
      <c r="D317" s="1855">
        <v>0.15</v>
      </c>
      <c r="E317" s="1855">
        <v>0.15</v>
      </c>
      <c r="F317" s="1856">
        <v>0.15</v>
      </c>
    </row>
    <row r="318" spans="1:6" ht="14.25" thickBot="1">
      <c r="A318" s="1853" t="s">
        <v>2215</v>
      </c>
      <c r="B318" s="1857" t="s">
        <v>2217</v>
      </c>
      <c r="C318" s="1858">
        <v>0.107</v>
      </c>
      <c r="D318" s="1858">
        <v>0.11</v>
      </c>
      <c r="E318" s="1858">
        <v>0.112</v>
      </c>
      <c r="F318" s="1866"/>
    </row>
    <row r="319" spans="1:6" ht="14.25" thickBot="1">
      <c r="A319" s="1853" t="s">
        <v>2215</v>
      </c>
      <c r="B319" s="1857" t="s">
        <v>2218</v>
      </c>
      <c r="C319" s="1858">
        <v>0.15</v>
      </c>
      <c r="D319" s="1858">
        <v>0.15</v>
      </c>
      <c r="E319" s="1858">
        <v>0.15</v>
      </c>
      <c r="F319" s="1859">
        <v>0.15</v>
      </c>
    </row>
    <row r="320" spans="1:6" ht="14.25" thickBot="1">
      <c r="A320" s="1853" t="s">
        <v>2215</v>
      </c>
      <c r="B320" s="1857" t="s">
        <v>1104</v>
      </c>
      <c r="C320" s="1858">
        <v>0.15</v>
      </c>
      <c r="D320" s="1858">
        <v>0.15</v>
      </c>
      <c r="E320" s="1858">
        <v>0.15</v>
      </c>
      <c r="F320" s="1866"/>
    </row>
    <row r="321" spans="1:6" ht="14.25" thickBot="1">
      <c r="A321" s="1853" t="s">
        <v>2215</v>
      </c>
      <c r="B321" s="1857" t="s">
        <v>2219</v>
      </c>
      <c r="C321" s="1858">
        <v>0.15</v>
      </c>
      <c r="D321" s="1858">
        <v>0.15</v>
      </c>
      <c r="E321" s="1858">
        <v>0.15</v>
      </c>
      <c r="F321" s="1866"/>
    </row>
    <row r="322" spans="1:6" ht="14.25" thickBot="1">
      <c r="A322" s="1853" t="s">
        <v>2215</v>
      </c>
      <c r="B322" s="1857" t="s">
        <v>2220</v>
      </c>
      <c r="C322" s="1858">
        <v>0.15</v>
      </c>
      <c r="D322" s="1858">
        <v>0.15</v>
      </c>
      <c r="E322" s="1858">
        <v>0.15</v>
      </c>
      <c r="F322" s="1859">
        <v>0.15</v>
      </c>
    </row>
    <row r="323" spans="1:6" ht="14.25" thickBot="1">
      <c r="A323" s="1853" t="s">
        <v>2215</v>
      </c>
      <c r="B323" s="1857" t="s">
        <v>2221</v>
      </c>
      <c r="C323" s="1858">
        <v>0.15</v>
      </c>
      <c r="D323" s="1858">
        <v>0.15</v>
      </c>
      <c r="E323" s="1858">
        <v>0.15</v>
      </c>
      <c r="F323" s="1866"/>
    </row>
    <row r="324" spans="1:6" ht="14.25" thickBot="1">
      <c r="A324" s="1853" t="s">
        <v>2215</v>
      </c>
      <c r="B324" s="1857" t="s">
        <v>2222</v>
      </c>
      <c r="C324" s="1858">
        <v>0.15</v>
      </c>
      <c r="D324" s="1858">
        <v>0.15</v>
      </c>
      <c r="E324" s="1858">
        <v>0.15</v>
      </c>
      <c r="F324" s="1866"/>
    </row>
    <row r="325" spans="1:6" ht="14.25" thickBot="1">
      <c r="A325" s="1853" t="s">
        <v>2215</v>
      </c>
      <c r="B325" s="1857" t="s">
        <v>2223</v>
      </c>
      <c r="C325" s="1858">
        <v>0.15</v>
      </c>
      <c r="D325" s="1858">
        <v>0.15</v>
      </c>
      <c r="E325" s="1858">
        <v>0.15</v>
      </c>
      <c r="F325" s="1859">
        <v>0.14699999999999999</v>
      </c>
    </row>
    <row r="326" spans="1:6" ht="14.25" thickBot="1">
      <c r="A326" s="1853" t="s">
        <v>2215</v>
      </c>
      <c r="B326" s="1857" t="s">
        <v>1173</v>
      </c>
      <c r="C326" s="1858">
        <v>0.15</v>
      </c>
      <c r="D326" s="1858">
        <v>0.15</v>
      </c>
      <c r="E326" s="1858">
        <v>0.15</v>
      </c>
      <c r="F326" s="1866"/>
    </row>
    <row r="327" spans="1:6" ht="14.25" thickBot="1">
      <c r="A327" s="1853" t="s">
        <v>2215</v>
      </c>
      <c r="B327" s="1857" t="s">
        <v>2224</v>
      </c>
      <c r="C327" s="1858">
        <v>0.15</v>
      </c>
      <c r="D327" s="1858">
        <v>0.15</v>
      </c>
      <c r="E327" s="1858">
        <v>0.15</v>
      </c>
      <c r="F327" s="1859">
        <v>0.15</v>
      </c>
    </row>
    <row r="328" spans="1:6" ht="14.25" thickBot="1">
      <c r="A328" s="1853" t="s">
        <v>2215</v>
      </c>
      <c r="B328" s="1857" t="s">
        <v>1193</v>
      </c>
      <c r="C328" s="1858">
        <v>0.15</v>
      </c>
      <c r="D328" s="1858">
        <v>0.15</v>
      </c>
      <c r="E328" s="1858">
        <v>0.15</v>
      </c>
      <c r="F328" s="1859">
        <v>0.14099999999999999</v>
      </c>
    </row>
    <row r="329" spans="1:6" ht="14.25" thickBot="1">
      <c r="A329" s="1853" t="s">
        <v>2215</v>
      </c>
      <c r="B329" s="1857" t="s">
        <v>1203</v>
      </c>
      <c r="C329" s="1858">
        <v>0.15</v>
      </c>
      <c r="D329" s="1858">
        <v>0.15</v>
      </c>
      <c r="E329" s="1858">
        <v>0.15</v>
      </c>
      <c r="F329" s="1859">
        <v>0.15</v>
      </c>
    </row>
    <row r="330" spans="1:6" ht="14.25" thickBot="1">
      <c r="A330" s="1853" t="s">
        <v>2215</v>
      </c>
      <c r="B330" s="1857" t="s">
        <v>1213</v>
      </c>
      <c r="C330" s="1858">
        <v>0.15</v>
      </c>
      <c r="D330" s="1858">
        <v>0.15</v>
      </c>
      <c r="E330" s="1858">
        <v>0.15</v>
      </c>
      <c r="F330" s="1866"/>
    </row>
    <row r="331" spans="1:6" ht="14.25" thickBot="1">
      <c r="A331" s="1853" t="s">
        <v>2215</v>
      </c>
      <c r="B331" s="1857" t="s">
        <v>2225</v>
      </c>
      <c r="C331" s="1858">
        <v>0.15</v>
      </c>
      <c r="D331" s="1858">
        <v>0.15</v>
      </c>
      <c r="E331" s="1858">
        <v>0.15</v>
      </c>
      <c r="F331" s="1859">
        <v>0.15</v>
      </c>
    </row>
    <row r="332" spans="1:6" ht="14.25" thickBot="1">
      <c r="A332" s="1853" t="s">
        <v>2215</v>
      </c>
      <c r="B332" s="1857" t="s">
        <v>1233</v>
      </c>
      <c r="C332" s="1858">
        <v>0.15</v>
      </c>
      <c r="D332" s="1858">
        <v>0.15</v>
      </c>
      <c r="E332" s="1858">
        <v>0.15</v>
      </c>
      <c r="F332" s="1859">
        <v>0.15</v>
      </c>
    </row>
    <row r="333" spans="1:6" ht="14.25" thickBot="1">
      <c r="A333" s="1853" t="s">
        <v>2215</v>
      </c>
      <c r="B333" s="1857" t="s">
        <v>2226</v>
      </c>
      <c r="C333" s="1858">
        <v>0.15</v>
      </c>
      <c r="D333" s="1858">
        <v>0.15</v>
      </c>
      <c r="E333" s="1858">
        <v>0.15</v>
      </c>
      <c r="F333" s="1859">
        <v>0.14099999999999999</v>
      </c>
    </row>
    <row r="334" spans="1:6" ht="14.25" thickBot="1">
      <c r="A334" s="1853" t="s">
        <v>2215</v>
      </c>
      <c r="B334" s="1857" t="s">
        <v>1253</v>
      </c>
      <c r="C334" s="1858">
        <v>0.15</v>
      </c>
      <c r="D334" s="1858">
        <v>0.15</v>
      </c>
      <c r="E334" s="1858">
        <v>0.15</v>
      </c>
      <c r="F334" s="1859">
        <v>0.15</v>
      </c>
    </row>
    <row r="335" spans="1:6" ht="14.25" thickBot="1">
      <c r="A335" s="1853" t="s">
        <v>2215</v>
      </c>
      <c r="B335" s="1857" t="s">
        <v>1263</v>
      </c>
      <c r="C335" s="1858">
        <v>0.15</v>
      </c>
      <c r="D335" s="1858">
        <v>0.15</v>
      </c>
      <c r="E335" s="1858">
        <v>0.15</v>
      </c>
      <c r="F335" s="1866"/>
    </row>
    <row r="336" spans="1:6" ht="14.25" thickBot="1">
      <c r="A336" s="1853" t="s">
        <v>2215</v>
      </c>
      <c r="B336" s="1857" t="s">
        <v>2227</v>
      </c>
      <c r="C336" s="1858">
        <v>0.15</v>
      </c>
      <c r="D336" s="1858">
        <v>0.15</v>
      </c>
      <c r="E336" s="1858">
        <v>0.15</v>
      </c>
      <c r="F336" s="1859">
        <v>0.11799999999999999</v>
      </c>
    </row>
    <row r="337" spans="1:6" ht="14.25" thickBot="1">
      <c r="A337" s="1861" t="s">
        <v>2215</v>
      </c>
      <c r="B337" s="1868" t="s">
        <v>1281</v>
      </c>
      <c r="C337" s="1864"/>
      <c r="D337" s="1864"/>
      <c r="E337" s="1864"/>
      <c r="F337" s="1869">
        <v>0.14299999999999999</v>
      </c>
    </row>
    <row r="338" spans="1:6" ht="14.25" thickBot="1">
      <c r="A338" s="1853" t="s">
        <v>2228</v>
      </c>
      <c r="B338" s="1854" t="s">
        <v>2229</v>
      </c>
      <c r="C338" s="1855">
        <v>0.15</v>
      </c>
      <c r="D338" s="1855">
        <v>0.15</v>
      </c>
      <c r="E338" s="1855">
        <v>0.15</v>
      </c>
      <c r="F338" s="1877"/>
    </row>
    <row r="339" spans="1:6" ht="14.25" thickBot="1">
      <c r="A339" s="1853" t="s">
        <v>2228</v>
      </c>
      <c r="B339" s="1857" t="s">
        <v>2230</v>
      </c>
      <c r="C339" s="1858">
        <v>0.15</v>
      </c>
      <c r="D339" s="1858">
        <v>0.15</v>
      </c>
      <c r="E339" s="1858">
        <v>0.15</v>
      </c>
      <c r="F339" s="1866"/>
    </row>
    <row r="340" spans="1:6" ht="14.25" thickBot="1">
      <c r="A340" s="1853" t="s">
        <v>2228</v>
      </c>
      <c r="B340" s="1857" t="s">
        <v>2231</v>
      </c>
      <c r="C340" s="1858">
        <v>0.15</v>
      </c>
      <c r="D340" s="1858">
        <v>0.15</v>
      </c>
      <c r="E340" s="1858">
        <v>0.15</v>
      </c>
      <c r="F340" s="1866"/>
    </row>
    <row r="341" spans="1:6" ht="14.25" thickBot="1">
      <c r="A341" s="1853" t="s">
        <v>2232</v>
      </c>
      <c r="B341" s="1857" t="s">
        <v>2233</v>
      </c>
      <c r="C341" s="1858">
        <v>0.15</v>
      </c>
      <c r="D341" s="1858">
        <v>0.15</v>
      </c>
      <c r="E341" s="1858">
        <v>0.15</v>
      </c>
      <c r="F341" s="1859">
        <v>0.15</v>
      </c>
    </row>
    <row r="342" spans="1:6" ht="14.25" thickBot="1">
      <c r="A342" s="1853" t="s">
        <v>2228</v>
      </c>
      <c r="B342" s="1857" t="s">
        <v>2234</v>
      </c>
      <c r="C342" s="1858">
        <v>0.15</v>
      </c>
      <c r="D342" s="1858">
        <v>0.15</v>
      </c>
      <c r="E342" s="1858">
        <v>0.15</v>
      </c>
      <c r="F342" s="1859">
        <v>0.15</v>
      </c>
    </row>
    <row r="343" spans="1:6" ht="14.25" thickBot="1">
      <c r="A343" s="1853" t="s">
        <v>2228</v>
      </c>
      <c r="B343" s="1857" t="s">
        <v>2235</v>
      </c>
      <c r="C343" s="1858">
        <v>0.15</v>
      </c>
      <c r="D343" s="1858">
        <v>0.15</v>
      </c>
      <c r="E343" s="1858">
        <v>0.15</v>
      </c>
      <c r="F343" s="1859">
        <v>0.15</v>
      </c>
    </row>
    <row r="344" spans="1:6" ht="14.25" thickBot="1">
      <c r="A344" s="1861" t="s">
        <v>2228</v>
      </c>
      <c r="B344" s="1868" t="s">
        <v>2236</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6" t="s">
        <v>2951</v>
      </c>
      <c r="B1" s="3128"/>
      <c r="C1" s="3128"/>
      <c r="D1" s="3128"/>
      <c r="E1" s="3128"/>
      <c r="F1" s="3128"/>
    </row>
    <row r="2" spans="1:6" ht="14.25">
      <c r="A2" s="3129" t="s">
        <v>2945</v>
      </c>
      <c r="B2" s="3130" t="e">
        <f ca="1">SUMIF(B7:B14,"&lt;&gt;#ref!",B7:B14)</f>
        <v>#DIV/0!</v>
      </c>
      <c r="C2" s="3129" t="s">
        <v>2946</v>
      </c>
      <c r="D2" s="3128"/>
      <c r="E2" s="3128"/>
      <c r="F2" s="3128"/>
    </row>
    <row r="3" spans="1:6" ht="14.25">
      <c r="A3" s="3129" t="s">
        <v>2948</v>
      </c>
      <c r="B3" s="3130" t="e">
        <f ca="1">ROUND(B2*10000/E3,0)</f>
        <v>#DIV/0!</v>
      </c>
      <c r="C3" s="3129" t="s">
        <v>2077</v>
      </c>
      <c r="D3" s="3129" t="s">
        <v>2947</v>
      </c>
      <c r="E3" s="3130" t="e">
        <f ca="1">SUM(E7:E14)</f>
        <v>#REF!</v>
      </c>
      <c r="F3" s="3128"/>
    </row>
    <row r="4" spans="1:6" ht="14.25">
      <c r="A4" s="3129" t="s">
        <v>2955</v>
      </c>
      <c r="B4" s="3130" t="e">
        <f ca="1">ROUND(B2*10000/E4,0)</f>
        <v>#DIV/0!</v>
      </c>
      <c r="C4" s="3129" t="s">
        <v>2077</v>
      </c>
      <c r="D4" s="3129" t="s">
        <v>2956</v>
      </c>
      <c r="E4" s="3130" t="e">
        <f ca="1">SUM(F7:F14)</f>
        <v>#REF!</v>
      </c>
      <c r="F4" s="3128"/>
    </row>
    <row r="5" spans="1:6" ht="14.25">
      <c r="A5" s="3131"/>
      <c r="B5" s="1879"/>
      <c r="C5" s="1879"/>
      <c r="D5" s="1879"/>
      <c r="E5" s="1879"/>
      <c r="F5" s="3128"/>
    </row>
    <row r="6" spans="1:6" ht="28.5">
      <c r="A6" s="3132" t="s">
        <v>2952</v>
      </c>
      <c r="B6" s="3129" t="s">
        <v>2949</v>
      </c>
      <c r="C6" s="3130"/>
      <c r="D6" s="1879"/>
      <c r="E6" s="3129" t="s">
        <v>2950</v>
      </c>
      <c r="F6" s="3129" t="s">
        <v>2954</v>
      </c>
    </row>
    <row r="7" spans="1:6" ht="14.25">
      <c r="A7" s="259" t="s">
        <v>2953</v>
      </c>
      <c r="B7" s="3133" t="e">
        <f ca="1">SUMIF(INDIRECT("'"&amp;A7&amp;"'"&amp;"!A:A"),"总价",INDIRECT("'"&amp;A7&amp;"'"&amp;"!B:B"))</f>
        <v>#DIV/0!</v>
      </c>
      <c r="C7" s="3129" t="s">
        <v>2946</v>
      </c>
      <c r="D7" s="1879"/>
      <c r="E7" s="3134">
        <f ca="1">SUMIF(INDIRECT("'"&amp;A7&amp;"'"&amp;"!C:C"),"建筑面积",INDIRECT("'"&amp;A7&amp;"'"&amp;"!D:D"))</f>
        <v>0</v>
      </c>
      <c r="F7" s="3134">
        <f ca="1">SUMIF(INDIRECT("'"&amp;A7&amp;"'"&amp;"!E:E"),"土地面积",INDIRECT("'"&amp;A7&amp;"'"&amp;"!F:F"))</f>
        <v>0</v>
      </c>
    </row>
    <row r="8" spans="1:6" ht="14.25">
      <c r="A8" s="259"/>
      <c r="B8" s="3133" t="e">
        <f t="shared" ref="B8:B14" ca="1" si="0">SUMIF(INDIRECT("'"&amp;A8&amp;"'"&amp;"!A:A"),"总价",INDIRECT("'"&amp;A8&amp;"'"&amp;"!B:B"))</f>
        <v>#REF!</v>
      </c>
      <c r="C8" s="3129" t="s">
        <v>2946</v>
      </c>
      <c r="D8" s="1879"/>
      <c r="E8" s="3134" t="e">
        <f t="shared" ref="E8:E14" ca="1" si="1">SUMIF(INDIRECT("'"&amp;A8&amp;"'"&amp;"!C:C"),"建筑面积",INDIRECT("'"&amp;A8&amp;"'"&amp;"!D:D"))</f>
        <v>#REF!</v>
      </c>
      <c r="F8" s="3134" t="e">
        <f t="shared" ref="F8:F14" ca="1" si="2">SUMIF(INDIRECT("'"&amp;A8&amp;"'"&amp;"!E:E"),"土地面积",INDIRECT("'"&amp;A8&amp;"'"&amp;"!F:F"))</f>
        <v>#REF!</v>
      </c>
    </row>
    <row r="9" spans="1:6" ht="14.25">
      <c r="A9" s="259"/>
      <c r="B9" s="3133" t="e">
        <f t="shared" ca="1" si="0"/>
        <v>#REF!</v>
      </c>
      <c r="C9" s="3129" t="s">
        <v>2946</v>
      </c>
      <c r="D9" s="1879"/>
      <c r="E9" s="3134" t="e">
        <f t="shared" ca="1" si="1"/>
        <v>#REF!</v>
      </c>
      <c r="F9" s="3134" t="e">
        <f t="shared" ca="1" si="2"/>
        <v>#REF!</v>
      </c>
    </row>
    <row r="10" spans="1:6" ht="14.25">
      <c r="A10" s="259"/>
      <c r="B10" s="3133" t="e">
        <f t="shared" ca="1" si="0"/>
        <v>#REF!</v>
      </c>
      <c r="C10" s="3129" t="s">
        <v>2946</v>
      </c>
      <c r="D10" s="1879"/>
      <c r="E10" s="3134" t="e">
        <f t="shared" ca="1" si="1"/>
        <v>#REF!</v>
      </c>
      <c r="F10" s="3134" t="e">
        <f t="shared" ca="1" si="2"/>
        <v>#REF!</v>
      </c>
    </row>
    <row r="11" spans="1:6" ht="14.25">
      <c r="A11" s="259"/>
      <c r="B11" s="3133" t="e">
        <f t="shared" ca="1" si="0"/>
        <v>#REF!</v>
      </c>
      <c r="C11" s="3129" t="s">
        <v>2946</v>
      </c>
      <c r="D11" s="1879"/>
      <c r="E11" s="3134" t="e">
        <f t="shared" ca="1" si="1"/>
        <v>#REF!</v>
      </c>
      <c r="F11" s="3134" t="e">
        <f t="shared" ca="1" si="2"/>
        <v>#REF!</v>
      </c>
    </row>
    <row r="12" spans="1:6" ht="14.25">
      <c r="A12" s="259"/>
      <c r="B12" s="3133" t="e">
        <f t="shared" ca="1" si="0"/>
        <v>#REF!</v>
      </c>
      <c r="C12" s="3129" t="s">
        <v>2946</v>
      </c>
      <c r="D12" s="1879"/>
      <c r="E12" s="3134" t="e">
        <f t="shared" ca="1" si="1"/>
        <v>#REF!</v>
      </c>
      <c r="F12" s="3134" t="e">
        <f t="shared" ca="1" si="2"/>
        <v>#REF!</v>
      </c>
    </row>
    <row r="13" spans="1:6" ht="14.25">
      <c r="A13" s="259"/>
      <c r="B13" s="3133" t="e">
        <f t="shared" ca="1" si="0"/>
        <v>#REF!</v>
      </c>
      <c r="C13" s="3129" t="s">
        <v>2946</v>
      </c>
      <c r="D13" s="1879"/>
      <c r="E13" s="3134" t="e">
        <f t="shared" ca="1" si="1"/>
        <v>#REF!</v>
      </c>
      <c r="F13" s="3134" t="e">
        <f t="shared" ca="1" si="2"/>
        <v>#REF!</v>
      </c>
    </row>
    <row r="14" spans="1:6" ht="14.25">
      <c r="A14" s="3127"/>
      <c r="B14" s="3133" t="e">
        <f t="shared" ca="1" si="0"/>
        <v>#REF!</v>
      </c>
      <c r="C14" s="3129" t="s">
        <v>2946</v>
      </c>
      <c r="D14" s="1879"/>
      <c r="E14" s="3134" t="e">
        <f t="shared" ca="1" si="1"/>
        <v>#REF!</v>
      </c>
      <c r="F14" s="313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7" spans="1:4" ht="56.25">
      <c r="A7" s="1793" t="s">
        <v>2747</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2018年5月14日（评估专业人员勘察现场之日）</v>
      </c>
    </row>
    <row r="12" spans="1:4" ht="18.75">
      <c r="A12" s="1795" t="s">
        <v>2024</v>
      </c>
    </row>
    <row r="13" spans="1:4" ht="18.75">
      <c r="A13" s="1789" t="s">
        <v>2942</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根据《国有土地使用证》[]，估价对象（分摊）出让国有建设用地使用权面积为62101.4平方米。根据《建设工程规划许可证》[]、《出让合同》[]，估价对象规划建筑面积为181951.64平方米。</v>
      </c>
    </row>
    <row r="21" spans="1:1" ht="18.75">
      <c r="A21" s="1789" t="s">
        <v>2073</v>
      </c>
    </row>
    <row r="22" spans="1:1" ht="7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8月28日、商业2057年8月28日地下车库2067年8月28日、地下仓储2067年8月28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624</v>
      </c>
      <c r="B1" s="737"/>
      <c r="C1" s="772"/>
      <c r="D1" s="2048"/>
      <c r="E1" s="2409" t="s">
        <v>2374</v>
      </c>
      <c r="F1" s="2410">
        <f ca="1">J54</f>
        <v>0</v>
      </c>
      <c r="G1" s="773">
        <f>MATCH(C1,'数据-取费表'!A6:A16,0)+5</f>
        <v>11</v>
      </c>
      <c r="H1" s="1349"/>
      <c r="I1" s="2049"/>
      <c r="J1" s="2049"/>
      <c r="K1" s="2050"/>
      <c r="L1" s="2049"/>
      <c r="M1" s="2049"/>
      <c r="N1" s="2051"/>
      <c r="O1" s="2051"/>
      <c r="P1" s="2051"/>
      <c r="Q1" s="2051"/>
      <c r="R1" s="2051"/>
      <c r="S1" s="2051"/>
      <c r="T1" s="2051"/>
      <c r="U1" s="2051"/>
      <c r="V1" s="2051"/>
      <c r="W1" s="2051"/>
      <c r="X1" s="2051"/>
      <c r="Y1" s="2051"/>
    </row>
    <row r="2" spans="1:25" ht="18" customHeight="1">
      <c r="A2" s="1641" t="s">
        <v>625</v>
      </c>
      <c r="B2" s="774">
        <f ca="1">IF(ISERROR(C45+J31),0,C45+J31)</f>
        <v>0</v>
      </c>
      <c r="C2" s="1350"/>
      <c r="D2" s="2053"/>
      <c r="E2" s="2054"/>
      <c r="F2" s="2054"/>
      <c r="G2" s="1587"/>
      <c r="H2" s="1362"/>
      <c r="I2" s="2055"/>
      <c r="J2" s="2055"/>
      <c r="K2" s="2056"/>
      <c r="L2" s="2055"/>
      <c r="M2" s="2055"/>
    </row>
    <row r="3" spans="1:25" ht="18" customHeight="1">
      <c r="A3" s="1642" t="s">
        <v>1683</v>
      </c>
      <c r="B3" s="1388">
        <f ca="1">ROUND(B2*10000/'数据-汇总表'!E3,0)</f>
        <v>0</v>
      </c>
      <c r="C3" s="1350"/>
      <c r="D3" s="2053"/>
      <c r="E3" s="2054"/>
      <c r="F3" s="2054"/>
      <c r="G3" s="1587"/>
      <c r="H3" s="775" t="s">
        <v>691</v>
      </c>
      <c r="I3" s="2055"/>
      <c r="J3" s="2055"/>
      <c r="K3" s="2056"/>
      <c r="L3" s="2055"/>
      <c r="M3" s="2055"/>
    </row>
    <row r="4" spans="1:25" ht="18" customHeight="1">
      <c r="A4" s="1643" t="s">
        <v>692</v>
      </c>
      <c r="B4" s="1351">
        <f ca="1">ROUND(B2*10000/'数据-汇总表'!D3,0)</f>
        <v>0</v>
      </c>
      <c r="C4" s="427"/>
      <c r="D4" s="2053"/>
      <c r="E4" s="2054"/>
      <c r="F4" s="2054"/>
      <c r="G4" s="1587"/>
      <c r="H4" s="775"/>
      <c r="I4" s="2055"/>
      <c r="J4" s="2055"/>
      <c r="K4" s="2056"/>
      <c r="L4" s="2055"/>
      <c r="M4" s="2055"/>
    </row>
    <row r="5" spans="1:25" ht="18" customHeight="1" thickBot="1">
      <c r="A5" s="1644"/>
      <c r="B5" s="429">
        <f ca="1">ROUND(B2/('数据-汇总表'!D3/666.67),0)</f>
        <v>0</v>
      </c>
      <c r="C5" s="430" t="s">
        <v>693</v>
      </c>
      <c r="D5" s="2053"/>
      <c r="E5" s="2054"/>
      <c r="F5" s="2054"/>
      <c r="G5" s="1587"/>
      <c r="H5" s="775"/>
      <c r="I5" s="2055"/>
      <c r="J5" s="2055"/>
      <c r="K5" s="2056"/>
      <c r="L5" s="2055"/>
      <c r="M5" s="2055"/>
    </row>
    <row r="6" spans="1:25" ht="18" customHeight="1">
      <c r="A6" s="1826" t="s">
        <v>694</v>
      </c>
      <c r="B6" s="1818" t="s">
        <v>695</v>
      </c>
      <c r="C6" s="1818" t="s">
        <v>628</v>
      </c>
      <c r="D6" s="1818" t="s">
        <v>629</v>
      </c>
      <c r="E6" s="778" t="s">
        <v>630</v>
      </c>
      <c r="F6" s="779"/>
      <c r="G6" s="1589"/>
      <c r="H6" s="1826" t="s">
        <v>626</v>
      </c>
      <c r="I6" s="1818" t="s">
        <v>627</v>
      </c>
      <c r="J6" s="1818" t="s">
        <v>628</v>
      </c>
      <c r="K6" s="1818" t="s">
        <v>629</v>
      </c>
      <c r="L6" s="778" t="s">
        <v>630</v>
      </c>
      <c r="M6" s="779"/>
    </row>
    <row r="7" spans="1:25" ht="18" customHeight="1">
      <c r="A7" s="780">
        <v>1</v>
      </c>
      <c r="B7" s="781" t="s">
        <v>2458</v>
      </c>
      <c r="C7" s="53">
        <f ca="1">C8+C12+C14</f>
        <v>0</v>
      </c>
      <c r="D7" s="2518" t="s">
        <v>2461</v>
      </c>
      <c r="E7" s="2512"/>
      <c r="F7" s="2513"/>
      <c r="G7" s="1589"/>
      <c r="H7" s="780">
        <v>1</v>
      </c>
      <c r="I7" s="781" t="s">
        <v>2458</v>
      </c>
      <c r="J7" s="53">
        <f ca="1">J8+J12+J14</f>
        <v>0</v>
      </c>
      <c r="K7" s="2518" t="s">
        <v>2461</v>
      </c>
      <c r="L7" s="2512"/>
      <c r="M7" s="2513"/>
    </row>
    <row r="8" spans="1:25" ht="18" customHeight="1">
      <c r="A8" s="1828" t="s">
        <v>1821</v>
      </c>
      <c r="B8" s="3499" t="s">
        <v>2463</v>
      </c>
      <c r="C8" s="1823">
        <f ca="1">ROUND(F8*F10*F9*(1-F11)/10000,0)</f>
        <v>0</v>
      </c>
      <c r="D8" s="1820" t="s">
        <v>2534</v>
      </c>
      <c r="E8" s="61" t="s">
        <v>633</v>
      </c>
      <c r="F8" s="784">
        <f ca="1">INDIRECT("'数据-取费表'!u"&amp;$G$1)</f>
        <v>0</v>
      </c>
      <c r="G8" s="1589"/>
      <c r="H8" s="2526" t="s">
        <v>1821</v>
      </c>
      <c r="I8" s="3499" t="s">
        <v>2463</v>
      </c>
      <c r="J8" s="782">
        <f ca="1">ROUND(M8*M10*M9*(1-M11)/10000,0)</f>
        <v>0</v>
      </c>
      <c r="K8" s="340" t="s">
        <v>2534</v>
      </c>
      <c r="L8" s="783" t="s">
        <v>1735</v>
      </c>
      <c r="M8" s="784">
        <f ca="1">INDIRECT("'数据-取费表'!z"&amp;$G$1)</f>
        <v>0</v>
      </c>
    </row>
    <row r="9" spans="1:25" ht="18" customHeight="1">
      <c r="A9" s="2522"/>
      <c r="B9" s="3500"/>
      <c r="C9" s="1824"/>
      <c r="D9" s="1821"/>
      <c r="E9" s="61" t="s">
        <v>634</v>
      </c>
      <c r="F9" s="784">
        <f ca="1">IF(INDIRECT("'数据-取费表'!ah"&amp;$G$1)="",INDIRECT("'数据-取费表'!k"&amp;$G$1),INDIRECT("'数据-取费表'!ah"&amp;$G$1))</f>
        <v>0</v>
      </c>
      <c r="G9" s="1589"/>
      <c r="H9" s="2511"/>
      <c r="I9" s="3500"/>
      <c r="J9" s="787"/>
      <c r="K9" s="788"/>
      <c r="L9" s="783" t="s">
        <v>1736</v>
      </c>
      <c r="M9" s="784">
        <f ca="1">F9</f>
        <v>0</v>
      </c>
    </row>
    <row r="10" spans="1:25" ht="18" customHeight="1">
      <c r="A10" s="2515"/>
      <c r="B10" s="3501"/>
      <c r="C10" s="1824"/>
      <c r="D10" s="1821"/>
      <c r="E10" s="61" t="s">
        <v>635</v>
      </c>
      <c r="F10" s="784">
        <f ca="1">INDIRECT("'数据-取费表'!ai"&amp;$G$1)</f>
        <v>0</v>
      </c>
      <c r="G10" s="1589"/>
      <c r="H10" s="2511"/>
      <c r="I10" s="3501"/>
      <c r="J10" s="787"/>
      <c r="K10" s="788"/>
      <c r="L10" s="783" t="s">
        <v>1737</v>
      </c>
      <c r="M10" s="784">
        <f ca="1">INDIRECT("'数据-取费表'!ai"&amp;$G$1)</f>
        <v>0</v>
      </c>
    </row>
    <row r="11" spans="1:25" ht="18" customHeight="1">
      <c r="A11" s="785"/>
      <c r="B11" s="3502"/>
      <c r="C11" s="1824"/>
      <c r="D11" s="1821"/>
      <c r="E11" s="61" t="s">
        <v>636</v>
      </c>
      <c r="F11" s="793">
        <f ca="1">INDIRECT("'数据-取费表'!w"&amp;$G$1)</f>
        <v>0</v>
      </c>
      <c r="G11" s="1589"/>
      <c r="H11" s="2527"/>
      <c r="I11" s="3501"/>
      <c r="J11" s="787"/>
      <c r="K11" s="788"/>
      <c r="L11" s="794" t="s">
        <v>1738</v>
      </c>
      <c r="M11" s="795">
        <f ca="1">INDIRECT("'数据-取费表'!ab"&amp;$G$1)</f>
        <v>0</v>
      </c>
    </row>
    <row r="12" spans="1:25" ht="18" customHeight="1">
      <c r="A12" s="1828" t="s">
        <v>1822</v>
      </c>
      <c r="B12" s="2516" t="s">
        <v>2459</v>
      </c>
      <c r="C12" s="798">
        <f ca="1">ROUND(IF(F12="押一",C8/12*F13,IF(F12="押二",C8/12*2*F13,IF(F12="押三",C8/12*3*F13,C13*F13))),0)</f>
        <v>0</v>
      </c>
      <c r="D12" s="2523" t="s">
        <v>2976</v>
      </c>
      <c r="E12" s="2520" t="s">
        <v>2464</v>
      </c>
      <c r="F12" s="2643"/>
      <c r="G12" s="1589"/>
      <c r="H12" s="2583" t="s">
        <v>1822</v>
      </c>
      <c r="I12" s="2588" t="s">
        <v>2459</v>
      </c>
      <c r="J12" s="782">
        <f ca="1">ROUND(IF(M12="押一",J8/12*M13,IF(M12="押二",J8/12*2*M13,IF(M12="押三",J8/12*3*M13,J13*M13))),0)</f>
        <v>0</v>
      </c>
      <c r="K12" s="2523" t="s">
        <v>2976</v>
      </c>
      <c r="L12" s="2520" t="s">
        <v>2464</v>
      </c>
      <c r="M12" s="2643"/>
    </row>
    <row r="13" spans="1:25" ht="18" customHeight="1">
      <c r="A13" s="789"/>
      <c r="B13" s="2517" t="s">
        <v>2573</v>
      </c>
      <c r="C13" s="2521"/>
      <c r="D13" s="788"/>
      <c r="E13" s="2520" t="s">
        <v>2456</v>
      </c>
      <c r="F13" s="795">
        <f ca="1">'数据-取费表'!B39</f>
        <v>1.4999999999999999E-2</v>
      </c>
      <c r="G13" s="1589"/>
      <c r="H13" s="2584"/>
      <c r="I13" s="2517" t="s">
        <v>2573</v>
      </c>
      <c r="J13" s="2521"/>
      <c r="K13" s="2585"/>
      <c r="L13" s="2520" t="s">
        <v>2456</v>
      </c>
      <c r="M13" s="2514">
        <f ca="1">'数据-取费表'!B39</f>
        <v>1.4999999999999999E-2</v>
      </c>
    </row>
    <row r="14" spans="1:25" ht="18" customHeight="1" thickBot="1">
      <c r="A14" s="2559" t="s">
        <v>2467</v>
      </c>
      <c r="B14" s="2560" t="s">
        <v>2460</v>
      </c>
      <c r="C14" s="2561"/>
      <c r="D14" s="2562"/>
      <c r="E14" s="2563"/>
      <c r="F14" s="2564"/>
      <c r="G14" s="1589"/>
      <c r="H14" s="2573" t="s">
        <v>2467</v>
      </c>
      <c r="I14" s="2586" t="s">
        <v>2460</v>
      </c>
      <c r="J14" s="2587"/>
      <c r="K14" s="2562"/>
      <c r="L14" s="2563"/>
      <c r="M14" s="2576"/>
    </row>
    <row r="15" spans="1:25" ht="18" customHeight="1" thickTop="1">
      <c r="A15" s="1827" t="s">
        <v>1871</v>
      </c>
      <c r="B15" s="1825" t="s">
        <v>637</v>
      </c>
      <c r="C15" s="791">
        <f ca="1">ROUND(C31*F15,0)</f>
        <v>0</v>
      </c>
      <c r="D15" s="1832" t="s">
        <v>638</v>
      </c>
      <c r="E15" s="794" t="s">
        <v>639</v>
      </c>
      <c r="F15" s="799">
        <f ca="1">INDIRECT("'数据-取费表'!y"&amp;$G$1)</f>
        <v>0</v>
      </c>
      <c r="G15" s="1589"/>
      <c r="H15" s="1827" t="s">
        <v>1823</v>
      </c>
      <c r="I15" s="1825" t="s">
        <v>640</v>
      </c>
      <c r="J15" s="1817">
        <f ca="1">ROUND(J16*J17,0)</f>
        <v>0</v>
      </c>
      <c r="K15" s="1819" t="s">
        <v>638</v>
      </c>
      <c r="L15" s="800"/>
      <c r="M15" s="801"/>
    </row>
    <row r="16" spans="1:25" ht="18" customHeight="1">
      <c r="A16" s="802" t="s">
        <v>1872</v>
      </c>
      <c r="B16" s="783" t="s">
        <v>641</v>
      </c>
      <c r="C16" s="803">
        <f ca="1">INDIRECT("'数据-取费表'!m"&amp;$G$1)+INDIRECT("'数据-取费表'!t"&amp;$G$1)</f>
        <v>0</v>
      </c>
      <c r="D16" s="1977" t="s">
        <v>642</v>
      </c>
      <c r="E16" s="1978"/>
      <c r="F16" s="804"/>
      <c r="G16" s="1589"/>
      <c r="H16" s="802" t="s">
        <v>2068</v>
      </c>
      <c r="I16" s="2229" t="s">
        <v>2825</v>
      </c>
      <c r="J16" s="53">
        <f ca="1">C31</f>
        <v>0</v>
      </c>
      <c r="K16" s="26"/>
      <c r="L16" s="800"/>
      <c r="M16" s="801"/>
    </row>
    <row r="17" spans="1:25" s="2062" customFormat="1" ht="18" customHeight="1">
      <c r="A17" s="802" t="s">
        <v>1846</v>
      </c>
      <c r="B17" s="783" t="s">
        <v>643</v>
      </c>
      <c r="C17" s="53">
        <f ca="1">ROUND(C16*F17,0)</f>
        <v>0</v>
      </c>
      <c r="D17" s="805" t="s">
        <v>644</v>
      </c>
      <c r="E17" s="805" t="s">
        <v>645</v>
      </c>
      <c r="F17" s="806">
        <f>'数据-取费表'!B33</f>
        <v>0.03</v>
      </c>
      <c r="G17" s="1590"/>
      <c r="H17" s="802" t="s">
        <v>2069</v>
      </c>
      <c r="I17" s="783" t="s">
        <v>639</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9"/>
      <c r="H18" s="796" t="s">
        <v>1824</v>
      </c>
      <c r="I18" s="797" t="s">
        <v>647</v>
      </c>
      <c r="J18" s="798">
        <f ca="1">ROUND(J19+J24+J25+J26,0)</f>
        <v>0</v>
      </c>
      <c r="K18" s="26" t="s">
        <v>648</v>
      </c>
      <c r="L18" s="1980"/>
      <c r="M18" s="56"/>
    </row>
    <row r="19" spans="1:25" s="2062" customFormat="1" ht="18" customHeight="1">
      <c r="A19" s="802" t="s">
        <v>1848</v>
      </c>
      <c r="B19" s="783" t="s">
        <v>649</v>
      </c>
      <c r="C19" s="53">
        <f ca="1">ROUND(F19*(INDIRECT("'数据-取费表'!k"&amp;$G$1)+INDIRECT("'数据-取费表'!S"&amp;$G$1))/10000,0)</f>
        <v>0</v>
      </c>
      <c r="D19" s="783" t="s">
        <v>650</v>
      </c>
      <c r="E19" s="783" t="s">
        <v>651</v>
      </c>
      <c r="F19" s="56">
        <f>'数据-取费表'!B35</f>
        <v>180</v>
      </c>
      <c r="G19" s="1590"/>
      <c r="H19" s="802" t="s">
        <v>2068</v>
      </c>
      <c r="I19" s="783" t="s">
        <v>652</v>
      </c>
      <c r="J19" s="53">
        <f ca="1">ROUND(IF(项目基本情况!B11="自然人",J7*M19,J20+J21+J22),0)</f>
        <v>0</v>
      </c>
      <c r="K19" s="1977" t="s">
        <v>653</v>
      </c>
      <c r="L19" s="1975" t="s">
        <v>654</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1849</v>
      </c>
      <c r="B20" s="783" t="s">
        <v>655</v>
      </c>
      <c r="C20" s="53">
        <f ca="1">ROUND(C16*F20,0)</f>
        <v>0</v>
      </c>
      <c r="D20" s="783" t="s">
        <v>644</v>
      </c>
      <c r="E20" s="783" t="s">
        <v>645</v>
      </c>
      <c r="F20" s="808">
        <f>'数据-取费表'!B36</f>
        <v>1.4999999999999999E-2</v>
      </c>
      <c r="G20" s="1590"/>
      <c r="H20" s="802" t="s">
        <v>1828</v>
      </c>
      <c r="I20" s="783" t="s">
        <v>656</v>
      </c>
      <c r="J20" s="53">
        <f ca="1">ROUND(J7*M20/1.05,1)</f>
        <v>0</v>
      </c>
      <c r="K20" s="1975" t="s">
        <v>657</v>
      </c>
      <c r="L20" s="783" t="s">
        <v>645</v>
      </c>
      <c r="M20" s="808">
        <f>'数据-取费表'!B41</f>
        <v>5.5000000000000007E-2</v>
      </c>
      <c r="N20" s="2061"/>
      <c r="O20" s="2061"/>
      <c r="P20" s="2061"/>
      <c r="Q20" s="2061"/>
      <c r="R20" s="2061"/>
      <c r="S20" s="2061"/>
      <c r="T20" s="2061"/>
      <c r="U20" s="2061"/>
      <c r="V20" s="2061"/>
      <c r="W20" s="2061"/>
      <c r="X20" s="2061"/>
      <c r="Y20" s="2061"/>
    </row>
    <row r="21" spans="1:25" ht="18" customHeight="1">
      <c r="A21" s="802" t="s">
        <v>1873</v>
      </c>
      <c r="B21" s="783" t="s">
        <v>658</v>
      </c>
      <c r="C21" s="53">
        <f ca="1">SUM(C16:C20)</f>
        <v>0</v>
      </c>
      <c r="D21" s="260" t="s">
        <v>659</v>
      </c>
      <c r="E21" s="1980"/>
      <c r="F21" s="56"/>
      <c r="G21" s="1589"/>
      <c r="H21" s="1828" t="s">
        <v>1846</v>
      </c>
      <c r="I21" s="783" t="s">
        <v>660</v>
      </c>
      <c r="J21" s="53">
        <f ca="1">IF(K21="按租金收入计税",ROUND(J7*M21,1),ROUND(C31*F35*0.7,1))</f>
        <v>0</v>
      </c>
      <c r="K21" s="810" t="s">
        <v>661</v>
      </c>
      <c r="L21" s="783" t="s">
        <v>645</v>
      </c>
      <c r="M21" s="808">
        <f>IF(K21="按租金收入计税",'数据-取费表'!B51,'数据-取费表'!B50)</f>
        <v>1.2E-2</v>
      </c>
    </row>
    <row r="22" spans="1:25" s="2062" customFormat="1" ht="18" customHeight="1">
      <c r="A22" s="802" t="s">
        <v>1874</v>
      </c>
      <c r="B22" s="783" t="s">
        <v>662</v>
      </c>
      <c r="C22" s="53">
        <f ca="1">ROUND(C21*F22,0)</f>
        <v>0</v>
      </c>
      <c r="D22" s="811" t="s">
        <v>663</v>
      </c>
      <c r="E22" s="783" t="s">
        <v>645</v>
      </c>
      <c r="F22" s="808">
        <f>'数据-取费表'!B37</f>
        <v>0.02</v>
      </c>
      <c r="G22" s="1590"/>
      <c r="H22" s="1830" t="s">
        <v>1847</v>
      </c>
      <c r="I22" s="1820" t="s">
        <v>664</v>
      </c>
      <c r="J22" s="54">
        <f ca="1">ROUND(M22*M23/10000,0)</f>
        <v>0</v>
      </c>
      <c r="K22" s="813" t="s">
        <v>665</v>
      </c>
      <c r="L22" s="783" t="s">
        <v>666</v>
      </c>
      <c r="M22" s="639">
        <f>'数据-取费表'!B52</f>
        <v>1.5</v>
      </c>
      <c r="N22" s="2061"/>
      <c r="O22" s="2061"/>
      <c r="P22" s="2061"/>
      <c r="Q22" s="2061"/>
      <c r="R22" s="2061"/>
      <c r="S22" s="2061"/>
      <c r="T22" s="2061"/>
      <c r="U22" s="2061"/>
      <c r="V22" s="2061"/>
      <c r="W22" s="2061"/>
      <c r="X22" s="2061"/>
      <c r="Y22" s="2061"/>
    </row>
    <row r="23" spans="1:25" s="2062" customFormat="1" ht="18" customHeight="1">
      <c r="A23" s="802" t="s">
        <v>1875</v>
      </c>
      <c r="B23" s="783" t="s">
        <v>667</v>
      </c>
      <c r="C23" s="53" t="s">
        <v>1</v>
      </c>
      <c r="D23" s="811" t="s">
        <v>668</v>
      </c>
      <c r="E23" s="783" t="s">
        <v>669</v>
      </c>
      <c r="F23" s="808">
        <f>'数据-取费表'!B38</f>
        <v>0.02</v>
      </c>
      <c r="G23" s="1590"/>
      <c r="H23" s="1831"/>
      <c r="I23" s="1822"/>
      <c r="J23" s="69"/>
      <c r="K23" s="815"/>
      <c r="L23" s="783" t="s">
        <v>670</v>
      </c>
      <c r="M23" s="784">
        <f ca="1">INDIRECT("'数据-取费表'!r"&amp;$G$1)</f>
        <v>0</v>
      </c>
      <c r="N23" s="2061"/>
      <c r="O23" s="2061"/>
      <c r="P23" s="2061"/>
      <c r="Q23" s="2061"/>
      <c r="R23" s="2061"/>
      <c r="S23" s="2061"/>
      <c r="T23" s="2061"/>
      <c r="U23" s="2061"/>
      <c r="V23" s="2061"/>
      <c r="W23" s="2061"/>
      <c r="X23" s="2061"/>
      <c r="Y23" s="2061"/>
    </row>
    <row r="24" spans="1:25" ht="18" customHeight="1">
      <c r="A24" s="802" t="s">
        <v>1876</v>
      </c>
      <c r="B24" s="783" t="s">
        <v>671</v>
      </c>
      <c r="C24" s="53"/>
      <c r="D24" s="2594" t="str">
        <f>IF(F25&lt;=1,"单利计息。","复利计息。")&amp;"建造成本、管理费用、销售费用产生的利息。"</f>
        <v>复利计息。建造成本、管理费用、销售费用产生的利息。</v>
      </c>
      <c r="E24" s="1980"/>
      <c r="F24" s="56"/>
      <c r="G24" s="1589"/>
      <c r="H24" s="1829" t="s">
        <v>2069</v>
      </c>
      <c r="I24" s="783" t="s">
        <v>672</v>
      </c>
      <c r="J24" s="53">
        <f ca="1">ROUND(J16*M24,0)</f>
        <v>0</v>
      </c>
      <c r="K24" s="1975" t="s">
        <v>673</v>
      </c>
      <c r="L24" s="783" t="s">
        <v>645</v>
      </c>
      <c r="M24" s="816">
        <f ca="1">INDIRECT("'数据-取费表'!Ak"&amp;$G$1)</f>
        <v>0</v>
      </c>
    </row>
    <row r="25" spans="1:25" s="2062" customFormat="1" ht="18" customHeight="1">
      <c r="A25" s="802" t="s">
        <v>1872</v>
      </c>
      <c r="B25" s="783" t="s">
        <v>2437</v>
      </c>
      <c r="C25" s="53">
        <f ca="1">ROUND(IF('数据-取费表'!B22&lt;=1,(C21+C22)*F26*F25/2,(C21+C22)*(POWER((1+F26),F25/2)-1)),0)</f>
        <v>0</v>
      </c>
      <c r="D25" s="2593" t="str">
        <f>IF(F25&lt;=1,"(建造成本+管理费用)×利率×(建设周期÷2)","(建造成本+管理费用)×((1+利率)^(建设周期÷2)-1)")</f>
        <v>(建造成本+管理费用)×((1+利率)^(建设周期÷2)-1)</v>
      </c>
      <c r="E25" s="783" t="s">
        <v>674</v>
      </c>
      <c r="F25" s="639">
        <f>'数据-取费表'!B20</f>
        <v>2</v>
      </c>
      <c r="G25" s="1590"/>
      <c r="H25" s="802" t="s">
        <v>1875</v>
      </c>
      <c r="I25" s="783" t="s">
        <v>675</v>
      </c>
      <c r="J25" s="53">
        <f ca="1">ROUND(J15*M25,0)</f>
        <v>0</v>
      </c>
      <c r="K25" s="1975" t="s">
        <v>676</v>
      </c>
      <c r="L25" s="783" t="s">
        <v>645</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1846</v>
      </c>
      <c r="B26" s="783" t="s">
        <v>677</v>
      </c>
      <c r="C26" s="53">
        <f ca="1">ROUND(IF('数据-取费表'!B22&lt;=1,F23*F26*F25/2,F23*(POWER((1+F26),F25/2)-1)),4)</f>
        <v>1E-3</v>
      </c>
      <c r="D26" s="2593" t="str">
        <f>IF(F25&lt;=1,"销售费用×利率×(建设周期÷2)","销售费用×((1+利率)^(建设周期÷2)-1)")</f>
        <v>销售费用×((1+利率)^(建设周期÷2)-1)</v>
      </c>
      <c r="E26" s="783" t="s">
        <v>678</v>
      </c>
      <c r="F26" s="818">
        <f ca="1">'数据-取费表'!B40</f>
        <v>4.7500000000000001E-2</v>
      </c>
      <c r="G26" s="1590"/>
      <c r="H26" s="802" t="s">
        <v>1876</v>
      </c>
      <c r="I26" s="783" t="s">
        <v>662</v>
      </c>
      <c r="J26" s="53">
        <f ca="1">ROUND(J7*M26,0)</f>
        <v>0</v>
      </c>
      <c r="K26" s="1975" t="s">
        <v>679</v>
      </c>
      <c r="L26" s="783" t="s">
        <v>645</v>
      </c>
      <c r="M26" s="793">
        <f ca="1">INDIRECT("'数据-取费表'!Am"&amp;$G$1)</f>
        <v>0</v>
      </c>
      <c r="N26" s="2061"/>
      <c r="O26" s="2061"/>
      <c r="P26" s="2061"/>
      <c r="Q26" s="2061"/>
      <c r="R26" s="2061"/>
      <c r="S26" s="2061"/>
      <c r="T26" s="2061"/>
      <c r="U26" s="2061"/>
      <c r="V26" s="2061"/>
      <c r="W26" s="2061"/>
      <c r="X26" s="2061"/>
      <c r="Y26" s="2061"/>
    </row>
    <row r="27" spans="1:25" ht="18" customHeight="1">
      <c r="A27" s="802" t="s">
        <v>1878</v>
      </c>
      <c r="B27" s="783" t="s">
        <v>680</v>
      </c>
      <c r="C27" s="53"/>
      <c r="D27" s="260" t="s">
        <v>681</v>
      </c>
      <c r="E27" s="1980"/>
      <c r="F27" s="56"/>
      <c r="G27" s="1589"/>
      <c r="H27" s="796" t="s">
        <v>1825</v>
      </c>
      <c r="I27" s="3033" t="s">
        <v>2822</v>
      </c>
      <c r="J27" s="798">
        <f ca="1">J7-J18</f>
        <v>0</v>
      </c>
      <c r="K27" s="1977" t="s">
        <v>696</v>
      </c>
      <c r="L27" s="1979"/>
      <c r="M27" s="819"/>
    </row>
    <row r="28" spans="1:25" ht="18" customHeight="1">
      <c r="A28" s="802" t="s">
        <v>1872</v>
      </c>
      <c r="B28" s="783" t="s">
        <v>2438</v>
      </c>
      <c r="C28" s="53">
        <f ca="1">ROUND((C21+C22)*F28,0)</f>
        <v>0</v>
      </c>
      <c r="D28" s="811" t="s">
        <v>697</v>
      </c>
      <c r="E28" s="794" t="s">
        <v>698</v>
      </c>
      <c r="F28" s="793">
        <f ca="1">INDIRECT("'数据-取费表'!q"&amp;$G$1)</f>
        <v>0</v>
      </c>
      <c r="G28" s="1589"/>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9"/>
      <c r="H29" s="785"/>
      <c r="I29" s="786"/>
      <c r="J29" s="787"/>
      <c r="K29" s="820" t="s">
        <v>703</v>
      </c>
      <c r="L29" s="783" t="s">
        <v>704</v>
      </c>
      <c r="M29" s="821">
        <f ca="1">INDIRECT("'数据-取费表'!ag"&amp;$G$1)</f>
        <v>0</v>
      </c>
    </row>
    <row r="30" spans="1:25" s="2062" customFormat="1" ht="18" customHeight="1">
      <c r="A30" s="802" t="s">
        <v>1879</v>
      </c>
      <c r="B30" s="783" t="s">
        <v>683</v>
      </c>
      <c r="C30" s="53">
        <f>ROUND(F30/(1+'数据-取费表'!C42),4)</f>
        <v>5.2400000000000002E-2</v>
      </c>
      <c r="D30" s="811" t="s">
        <v>705</v>
      </c>
      <c r="E30" s="783" t="s">
        <v>645</v>
      </c>
      <c r="F30" s="808">
        <f>'数据-取费表'!B41</f>
        <v>5.5000000000000007E-2</v>
      </c>
      <c r="G30" s="1590"/>
      <c r="H30" s="789"/>
      <c r="I30" s="790"/>
      <c r="J30" s="791"/>
      <c r="K30" s="815"/>
      <c r="L30" s="783" t="s">
        <v>706</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82" t="s">
        <v>1880</v>
      </c>
      <c r="B31" s="2563" t="s">
        <v>2823</v>
      </c>
      <c r="C31" s="2566">
        <f ca="1">ROUND((C21+C22+C25+C28)/(1-F23-C26-C29-C30),0)</f>
        <v>0</v>
      </c>
      <c r="D31" s="2567"/>
      <c r="E31" s="2568"/>
      <c r="F31" s="2569"/>
      <c r="G31" s="1590"/>
      <c r="H31" s="822" t="s">
        <v>1869</v>
      </c>
      <c r="I31" s="3034" t="s">
        <v>2824</v>
      </c>
      <c r="J31" s="824">
        <f ca="1">ROUND(J28/(1+F45)^F46,0)</f>
        <v>0</v>
      </c>
      <c r="K31" s="825" t="s">
        <v>684</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685</v>
      </c>
      <c r="C32" s="791">
        <f ca="1">ROUND(C33+C38+C39+C40,0)</f>
        <v>0</v>
      </c>
      <c r="D32" s="1819" t="s">
        <v>648</v>
      </c>
      <c r="E32" s="2509"/>
      <c r="F32" s="2513"/>
      <c r="G32" s="2060"/>
      <c r="H32" s="2063"/>
      <c r="I32" s="2064"/>
      <c r="J32" s="2065"/>
      <c r="K32" s="2066"/>
      <c r="L32" s="2067"/>
      <c r="M32" s="2068"/>
    </row>
    <row r="33" spans="1:18" ht="18" customHeight="1">
      <c r="A33" s="802" t="s">
        <v>1873</v>
      </c>
      <c r="B33" s="783" t="s">
        <v>652</v>
      </c>
      <c r="C33" s="53">
        <f ca="1">ROUND(IF(项目基本情况!B11="自然人",C7*F33,C34+C35+C36),1)</f>
        <v>0</v>
      </c>
      <c r="D33" s="1977" t="s">
        <v>653</v>
      </c>
      <c r="E33" s="1975" t="s">
        <v>686</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1872</v>
      </c>
      <c r="B34" s="783" t="s">
        <v>656</v>
      </c>
      <c r="C34" s="53">
        <f ca="1">ROUND(C7*F34/1.05,1)</f>
        <v>0</v>
      </c>
      <c r="D34" s="1975" t="s">
        <v>657</v>
      </c>
      <c r="E34" s="783" t="s">
        <v>645</v>
      </c>
      <c r="F34" s="808">
        <f>'数据-取费表'!B41</f>
        <v>5.5000000000000007E-2</v>
      </c>
      <c r="G34" s="2060"/>
      <c r="H34" s="2069"/>
      <c r="I34" s="2070"/>
      <c r="J34" s="2071"/>
      <c r="K34" s="2072"/>
      <c r="L34" s="2073"/>
      <c r="M34" s="2074"/>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60"/>
      <c r="H35" s="2075"/>
      <c r="I35" s="2075"/>
      <c r="J35" s="2075"/>
      <c r="K35" s="2076"/>
      <c r="L35" s="2075"/>
      <c r="M35" s="2075"/>
    </row>
    <row r="36" spans="1:18" ht="18" customHeight="1">
      <c r="A36" s="812" t="s">
        <v>1877</v>
      </c>
      <c r="B36" s="340" t="s">
        <v>664</v>
      </c>
      <c r="C36" s="54">
        <f ca="1">ROUND(F36*F37/10000,1)</f>
        <v>0</v>
      </c>
      <c r="D36" s="813" t="s">
        <v>665</v>
      </c>
      <c r="E36" s="783" t="s">
        <v>666</v>
      </c>
      <c r="F36" s="639">
        <f>'数据-取费表'!B52</f>
        <v>1.5</v>
      </c>
      <c r="G36" s="2060"/>
      <c r="H36" s="2063"/>
      <c r="I36" s="3498"/>
      <c r="J36" s="2077"/>
      <c r="K36" s="2078"/>
      <c r="L36" s="2077"/>
      <c r="M36" s="2077"/>
    </row>
    <row r="37" spans="1:18" ht="18" customHeight="1">
      <c r="A37" s="814"/>
      <c r="B37" s="792"/>
      <c r="C37" s="69"/>
      <c r="D37" s="815"/>
      <c r="E37" s="783" t="s">
        <v>670</v>
      </c>
      <c r="F37" s="784">
        <f ca="1">INDIRECT("'数据-取费表'!r"&amp;$G$1)</f>
        <v>0</v>
      </c>
      <c r="G37" s="2060"/>
      <c r="H37" s="2063"/>
      <c r="I37" s="3498"/>
      <c r="J37" s="2075"/>
      <c r="K37" s="2076"/>
      <c r="L37" s="2075"/>
      <c r="M37" s="2075"/>
    </row>
    <row r="38" spans="1:18" ht="18" customHeight="1">
      <c r="A38" s="802" t="s">
        <v>1874</v>
      </c>
      <c r="B38" s="783" t="s">
        <v>672</v>
      </c>
      <c r="C38" s="53">
        <f ca="1">ROUND(C31*F38,1)</f>
        <v>0</v>
      </c>
      <c r="D38" s="1975" t="s">
        <v>687</v>
      </c>
      <c r="E38" s="783" t="s">
        <v>645</v>
      </c>
      <c r="F38" s="816">
        <f ca="1">INDIRECT("'数据-取费表'!Ak"&amp;$G$1)</f>
        <v>0</v>
      </c>
      <c r="G38" s="2060"/>
      <c r="H38" s="2075"/>
      <c r="I38" s="2079"/>
      <c r="J38" s="1986"/>
      <c r="K38" s="2080"/>
      <c r="L38" s="2075"/>
      <c r="M38" s="2075"/>
    </row>
    <row r="39" spans="1:18" ht="18" customHeight="1">
      <c r="A39" s="802" t="s">
        <v>1875</v>
      </c>
      <c r="B39" s="783" t="s">
        <v>675</v>
      </c>
      <c r="C39" s="53">
        <f ca="1">ROUND(C15*F39,1)</f>
        <v>0</v>
      </c>
      <c r="D39" s="1975" t="s">
        <v>676</v>
      </c>
      <c r="E39" s="783" t="s">
        <v>645</v>
      </c>
      <c r="F39" s="817">
        <f ca="1">INDIRECT("'数据-取费表'!Al"&amp;$G$1)</f>
        <v>0</v>
      </c>
      <c r="G39" s="2060"/>
      <c r="H39" s="2075"/>
      <c r="I39" s="2079"/>
      <c r="J39" s="1986"/>
      <c r="K39" s="2080"/>
      <c r="L39" s="2075"/>
      <c r="M39" s="2075"/>
    </row>
    <row r="40" spans="1:18" ht="18" customHeight="1" thickBot="1">
      <c r="A40" s="2582" t="s">
        <v>1876</v>
      </c>
      <c r="B40" s="2568" t="s">
        <v>662</v>
      </c>
      <c r="C40" s="2566">
        <f ca="1">ROUND(C7*F40,1)</f>
        <v>0</v>
      </c>
      <c r="D40" s="2567" t="s">
        <v>679</v>
      </c>
      <c r="E40" s="2568" t="s">
        <v>645</v>
      </c>
      <c r="F40" s="2564">
        <f ca="1">INDIRECT("'数据-取费表'!Am"&amp;$G$1)</f>
        <v>0</v>
      </c>
      <c r="G40" s="2060"/>
      <c r="H40" s="2075"/>
      <c r="I40" s="2079"/>
      <c r="J40" s="1986"/>
      <c r="K40" s="2081"/>
      <c r="L40" s="2075"/>
      <c r="M40" s="2075"/>
    </row>
    <row r="41" spans="1:18" ht="18" customHeight="1" thickTop="1">
      <c r="A41" s="1827">
        <v>4</v>
      </c>
      <c r="B41" s="1825" t="s">
        <v>688</v>
      </c>
      <c r="C41" s="1352"/>
      <c r="D41" s="1353"/>
      <c r="E41" s="1353"/>
      <c r="F41" s="1354"/>
      <c r="G41" s="2060"/>
      <c r="H41" s="2060"/>
      <c r="I41" s="2060"/>
      <c r="J41" s="2060"/>
      <c r="K41" s="2081"/>
      <c r="L41" s="2060"/>
      <c r="M41" s="2060"/>
    </row>
    <row r="42" spans="1:18" ht="18" customHeight="1">
      <c r="A42" s="802" t="s">
        <v>1873</v>
      </c>
      <c r="B42" s="834" t="s">
        <v>689</v>
      </c>
      <c r="C42" s="828">
        <f ca="1">C7-C32</f>
        <v>0</v>
      </c>
      <c r="D42" s="1977" t="s">
        <v>690</v>
      </c>
      <c r="E42" s="1979"/>
      <c r="F42" s="819"/>
      <c r="G42" s="2060"/>
      <c r="H42" s="2060"/>
      <c r="I42" s="2060"/>
      <c r="J42" s="2060"/>
      <c r="K42" s="2081"/>
      <c r="L42" s="2060"/>
      <c r="M42" s="2060"/>
    </row>
    <row r="43" spans="1:18" ht="18" customHeight="1">
      <c r="A43" s="802" t="s">
        <v>1874</v>
      </c>
      <c r="B43" s="834" t="s">
        <v>707</v>
      </c>
      <c r="C43" s="835">
        <f ca="1">ROUND(C15*F43,0)</f>
        <v>0</v>
      </c>
      <c r="D43" s="1355" t="s">
        <v>708</v>
      </c>
      <c r="E43" s="3147" t="s">
        <v>2964</v>
      </c>
      <c r="F43" s="3148">
        <f ca="1">INDIRECT("'数据-取费表'!j"&amp;$G$1)</f>
        <v>0</v>
      </c>
      <c r="G43" s="2060"/>
      <c r="H43" s="2060"/>
      <c r="I43" s="2060"/>
      <c r="J43" s="2060"/>
      <c r="K43" s="2081"/>
      <c r="L43" s="2060"/>
      <c r="M43" s="2060"/>
    </row>
    <row r="44" spans="1:18" ht="18" customHeight="1">
      <c r="A44" s="802" t="s">
        <v>1875</v>
      </c>
      <c r="B44" s="834" t="s">
        <v>709</v>
      </c>
      <c r="C44" s="1356">
        <f ca="1">C42-C43</f>
        <v>0</v>
      </c>
      <c r="D44" s="462" t="s">
        <v>710</v>
      </c>
      <c r="E44" s="463"/>
      <c r="F44" s="464"/>
      <c r="G44" s="2060"/>
      <c r="H44" s="2060"/>
      <c r="I44" s="2060"/>
      <c r="J44" s="2060"/>
      <c r="K44" s="2081"/>
      <c r="L44" s="2060"/>
      <c r="M44" s="2060"/>
    </row>
    <row r="45" spans="1:18" ht="18" customHeight="1">
      <c r="A45" s="802" t="s">
        <v>1876</v>
      </c>
      <c r="B45" s="1355" t="s">
        <v>711</v>
      </c>
      <c r="C45" s="3057">
        <f ca="1">ROUND(-PV(F45,F46,C44,0),0)</f>
        <v>0</v>
      </c>
      <c r="D45" s="1357" t="s">
        <v>712</v>
      </c>
      <c r="E45" s="805" t="s">
        <v>713</v>
      </c>
      <c r="F45" s="829">
        <f ca="1">INDIRECT("'数据-取费表'!h"&amp;$G$1)</f>
        <v>0</v>
      </c>
      <c r="G45" s="2060"/>
      <c r="H45" s="2060"/>
      <c r="I45" s="2060"/>
      <c r="J45" s="2060"/>
      <c r="K45" s="2081"/>
      <c r="L45" s="2060"/>
      <c r="M45" s="2060"/>
    </row>
    <row r="46" spans="1:18" ht="18" customHeight="1" thickBot="1">
      <c r="A46" s="830"/>
      <c r="B46" s="1358"/>
      <c r="C46" s="1359"/>
      <c r="D46" s="1360"/>
      <c r="E46" s="3149" t="s">
        <v>2967</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76" t="s">
        <v>2342</v>
      </c>
      <c r="J47" s="2377"/>
      <c r="K47" s="2378"/>
      <c r="L47" s="2379" t="str">
        <f ca="1">IF(M48="住宅",0,IF(L49&gt;J52,L61,J61))</f>
        <v>0</v>
      </c>
      <c r="O47" s="2416" t="s">
        <v>2410</v>
      </c>
      <c r="P47" s="1589"/>
      <c r="Q47" s="1601"/>
      <c r="R47" s="1589"/>
    </row>
    <row r="48" spans="1:18" s="2057" customFormat="1" ht="18" customHeight="1" thickBot="1">
      <c r="A48" s="2082"/>
      <c r="C48" s="2085"/>
      <c r="D48" s="2086"/>
      <c r="E48" s="2086"/>
      <c r="F48" s="2087"/>
      <c r="G48" s="2088"/>
      <c r="I48" s="2380" t="s">
        <v>2343</v>
      </c>
      <c r="J48" s="2385"/>
      <c r="K48" s="2386" t="s">
        <v>2349</v>
      </c>
      <c r="L48" s="2387">
        <f ca="1">INDIRECT("'数据-取费表'!d"&amp;$G$1)</f>
        <v>0</v>
      </c>
      <c r="M48" s="3144" t="str">
        <f>IF(ISNUMBER(FIND("住宅",C1)),"住宅","非住宅")</f>
        <v>非住宅</v>
      </c>
      <c r="O48" s="2417" t="s">
        <v>2375</v>
      </c>
      <c r="P48" s="2418" t="s">
        <v>2376</v>
      </c>
      <c r="Q48" s="2419" t="s">
        <v>2377</v>
      </c>
      <c r="R48" s="2418" t="s">
        <v>2378</v>
      </c>
    </row>
    <row r="49" spans="1:18" s="2057" customFormat="1" ht="18" customHeight="1" thickBot="1">
      <c r="A49" s="2082"/>
      <c r="D49" s="2089"/>
      <c r="E49" s="2090"/>
      <c r="F49" s="2087"/>
      <c r="G49" s="2088"/>
      <c r="H49" s="2091"/>
      <c r="I49" s="2381" t="s">
        <v>2344</v>
      </c>
      <c r="J49" s="2388"/>
      <c r="K49" s="2389" t="s">
        <v>2351</v>
      </c>
      <c r="L49" s="2390">
        <f ca="1">INDIRECT("'数据-取费表'!f"&amp;$G$1)</f>
        <v>0</v>
      </c>
      <c r="O49" s="2420" t="s">
        <v>2379</v>
      </c>
      <c r="P49" s="2421" t="s">
        <v>2405</v>
      </c>
      <c r="Q49" s="2422">
        <f ca="1">C41+J31</f>
        <v>0</v>
      </c>
      <c r="R49" s="2421" t="s">
        <v>2380</v>
      </c>
    </row>
    <row r="50" spans="1:18" s="2057" customFormat="1" ht="18" customHeight="1" thickBot="1">
      <c r="A50" s="2082"/>
      <c r="D50" s="2092"/>
      <c r="E50" s="2092"/>
      <c r="F50" s="2086"/>
      <c r="G50" s="2093"/>
      <c r="H50" s="2091"/>
      <c r="I50" s="2381" t="s">
        <v>2345</v>
      </c>
      <c r="J50" s="2391"/>
      <c r="K50" s="2392" t="s">
        <v>2352</v>
      </c>
      <c r="L50" s="2393"/>
      <c r="O50" s="2420" t="s">
        <v>2381</v>
      </c>
      <c r="P50" s="2421" t="s">
        <v>2406</v>
      </c>
      <c r="Q50" s="2422" t="str">
        <f ca="1">J61</f>
        <v>0</v>
      </c>
      <c r="R50" s="2421" t="s">
        <v>2382</v>
      </c>
    </row>
    <row r="51" spans="1:18" s="2057" customFormat="1" ht="18" customHeight="1" thickBot="1">
      <c r="A51" s="2094"/>
      <c r="D51" s="2092"/>
      <c r="E51" s="2092"/>
      <c r="F51" s="2083"/>
      <c r="H51" s="2091"/>
      <c r="I51" s="2381" t="s">
        <v>2346</v>
      </c>
      <c r="J51" s="2394">
        <f>SUMPRODUCT((I64:I66=J48)*(J63:L63=J49)*(J64:L66))</f>
        <v>0</v>
      </c>
      <c r="K51" s="2392" t="s">
        <v>2353</v>
      </c>
      <c r="L51" s="2393"/>
      <c r="O51" s="2423" t="s">
        <v>2383</v>
      </c>
      <c r="P51" s="2421" t="s">
        <v>2407</v>
      </c>
      <c r="Q51" s="2422">
        <f ca="1">C31</f>
        <v>0</v>
      </c>
      <c r="R51" s="2421" t="s">
        <v>2380</v>
      </c>
    </row>
    <row r="52" spans="1:18" s="2057" customFormat="1" ht="18" customHeight="1" thickBot="1">
      <c r="A52" s="2094"/>
      <c r="F52" s="2083"/>
      <c r="I52" s="2382" t="s">
        <v>2347</v>
      </c>
      <c r="J52" s="2395">
        <f>IF(J50="",J51,J50+J51-YEAR('数据-取费表'!B3))</f>
        <v>0</v>
      </c>
      <c r="K52" s="2381" t="s">
        <v>2354</v>
      </c>
      <c r="L52" s="2396">
        <f ca="1">ROUND(-PV(INDIRECT("'数据-取费表'!h"&amp;$G$1),L49,(C40-C14*J36),0),0)</f>
        <v>0</v>
      </c>
      <c r="O52" s="2423" t="s">
        <v>2384</v>
      </c>
      <c r="P52" s="2421" t="s">
        <v>2385</v>
      </c>
      <c r="Q52" s="2424" t="e">
        <f ca="1">J59</f>
        <v>#VALUE!</v>
      </c>
      <c r="R52" s="2425"/>
    </row>
    <row r="53" spans="1:18" s="2057" customFormat="1" ht="18" customHeight="1" thickBot="1">
      <c r="A53" s="2094"/>
      <c r="F53" s="2083"/>
      <c r="I53" s="2383" t="s">
        <v>2421</v>
      </c>
      <c r="J53" s="2397"/>
      <c r="K53" s="2383" t="s">
        <v>2420</v>
      </c>
      <c r="L53" s="2397"/>
      <c r="O53" s="2423" t="s">
        <v>2386</v>
      </c>
      <c r="P53" s="2421" t="s">
        <v>2387</v>
      </c>
      <c r="Q53" s="2424">
        <f>J53</f>
        <v>0</v>
      </c>
      <c r="R53" s="2425"/>
    </row>
    <row r="54" spans="1:18" s="2057" customFormat="1" ht="43.5" thickBot="1">
      <c r="A54" s="2094"/>
      <c r="I54" s="2384" t="s">
        <v>2348</v>
      </c>
      <c r="J54" s="2398">
        <f ca="1">IF(M48="住宅",J52,IF(J52&gt;L49,L49-'数据-取费表'!B25,J52))</f>
        <v>0</v>
      </c>
      <c r="K54" s="3503"/>
      <c r="L54" s="3504"/>
      <c r="O54" s="2423" t="s">
        <v>2388</v>
      </c>
      <c r="P54" s="2421" t="s">
        <v>2389</v>
      </c>
      <c r="Q54" s="2422">
        <f ca="1">J54</f>
        <v>0</v>
      </c>
      <c r="R54" s="2421" t="s">
        <v>2390</v>
      </c>
    </row>
    <row r="55" spans="1:18" s="2057" customFormat="1" ht="18" customHeight="1" thickBot="1">
      <c r="A55" s="2094"/>
      <c r="I55" s="205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4"/>
      <c r="O55" s="2420" t="s">
        <v>2391</v>
      </c>
      <c r="P55" s="2421" t="s">
        <v>2408</v>
      </c>
      <c r="Q55" s="2422">
        <f ca="1">Q49+Q50</f>
        <v>0</v>
      </c>
      <c r="R55" s="2425" t="s">
        <v>2392</v>
      </c>
    </row>
    <row r="56" spans="1:18" s="2057" customFormat="1" ht="16.5" thickBot="1">
      <c r="A56" s="2094"/>
      <c r="B56" s="2095"/>
      <c r="C56" s="2095"/>
      <c r="I56" s="3121" t="s">
        <v>2355</v>
      </c>
      <c r="J56" s="3145" t="e">
        <f ca="1">ROUND(IF(J48="钢混",J58/J51,1-(1-2%)*(J51-J58)/J51),3)</f>
        <v>#VALUE!</v>
      </c>
      <c r="K56" s="2399" t="s">
        <v>2356</v>
      </c>
      <c r="L56" s="2400"/>
      <c r="O56" s="2426" t="s">
        <v>2411</v>
      </c>
      <c r="P56" s="1589"/>
      <c r="Q56" s="1601"/>
      <c r="R56" s="1589"/>
    </row>
    <row r="57" spans="1:18" s="2057" customFormat="1" ht="43.5" thickBot="1">
      <c r="A57" s="2094"/>
      <c r="B57" s="2095"/>
      <c r="C57" s="2095"/>
      <c r="I57" s="2401" t="s">
        <v>2357</v>
      </c>
      <c r="J57" s="3144" t="s">
        <v>1675</v>
      </c>
      <c r="K57" s="2381" t="s">
        <v>2362</v>
      </c>
      <c r="L57" s="2390">
        <f ca="1">IF(L49&lt;J52,"——",L49-J52)</f>
        <v>0</v>
      </c>
      <c r="O57" s="2417" t="s">
        <v>2375</v>
      </c>
      <c r="P57" s="2418" t="s">
        <v>2376</v>
      </c>
      <c r="Q57" s="2419" t="s">
        <v>2377</v>
      </c>
      <c r="R57" s="2418" t="s">
        <v>2378</v>
      </c>
    </row>
    <row r="58" spans="1:18" s="2057" customFormat="1" ht="29.25" thickBot="1">
      <c r="A58" s="2094"/>
      <c r="B58" s="2095"/>
      <c r="C58" s="2095"/>
      <c r="I58" s="2402" t="s">
        <v>2358</v>
      </c>
      <c r="J58" s="2404" t="str">
        <f ca="1">IF(OR(M48="住宅",J52&lt;L49,J57="是"),"——",J52-L49)</f>
        <v>——</v>
      </c>
      <c r="K58" s="2381" t="s">
        <v>2363</v>
      </c>
      <c r="L58" s="2390">
        <f ca="1">IF(L49&lt;J52,"——",IF(L56="比较法",L50,IF(L56="基准地价",L51,L52)))</f>
        <v>0</v>
      </c>
      <c r="O58" s="2420" t="s">
        <v>2379</v>
      </c>
      <c r="P58" s="2421" t="s">
        <v>2405</v>
      </c>
      <c r="Q58" s="2422">
        <f ca="1">C41+J31</f>
        <v>0</v>
      </c>
      <c r="R58" s="2421" t="s">
        <v>2380</v>
      </c>
    </row>
    <row r="59" spans="1:18" s="2057" customFormat="1" ht="29.25" thickBot="1">
      <c r="A59" s="2094"/>
      <c r="B59" s="2095"/>
      <c r="C59" s="2095"/>
      <c r="I59" s="2402" t="s">
        <v>2359</v>
      </c>
      <c r="J59" s="3146" t="e">
        <f ca="1">IF(J56&lt;0.4,0.4,J56)</f>
        <v>#VALUE!</v>
      </c>
      <c r="K59" s="2381" t="s">
        <v>2364</v>
      </c>
      <c r="L59" s="2390">
        <f ca="1">IF(ISERROR(POWER(1+L53,L48-L49)*(POWER(1+L53,L49)-1)/(POWER(1+L53,L48)-1)),0,POWER(1+L53,L48-L49)*(POWER(1+L53,L49)-1)/(POWER(1+L53,L48)-1))</f>
        <v>0</v>
      </c>
      <c r="O59" s="2420" t="s">
        <v>2381</v>
      </c>
      <c r="P59" s="2421" t="s">
        <v>2412</v>
      </c>
      <c r="Q59" s="2422" t="e">
        <f ca="1">L61</f>
        <v>#DIV/0!</v>
      </c>
      <c r="R59" s="2425" t="s">
        <v>2414</v>
      </c>
    </row>
    <row r="60" spans="1:18" s="2057" customFormat="1" ht="29.25" thickBot="1">
      <c r="A60" s="2094"/>
      <c r="B60" s="2095"/>
      <c r="C60" s="2095"/>
      <c r="I60" s="2402" t="s">
        <v>2360</v>
      </c>
      <c r="J60" s="2404" t="str">
        <f ca="1">IF(OR(M48="住宅",J52&lt;L49,J57="是"),"——",ROUND(C30*J59,0))</f>
        <v>——</v>
      </c>
      <c r="K60" s="2381" t="s">
        <v>2365</v>
      </c>
      <c r="L60" s="2390">
        <f ca="1">IF(ISERROR(POWER(1+L53,L48-J52)*(POWER(1+L53,J52)-1)/(POWER(1+L53,L48)-1)),0,POWER(1+L53,L48-J52)*(POWER(1+L53,J52)-1)/(POWER(1+L53,L48)-1))</f>
        <v>0</v>
      </c>
      <c r="O60" s="2423" t="s">
        <v>2383</v>
      </c>
      <c r="P60" s="2421" t="s">
        <v>2413</v>
      </c>
      <c r="Q60" s="2422">
        <f>IF(L56="比较法",L50,IF(L56="基准地价",L51,0))</f>
        <v>0</v>
      </c>
      <c r="R60" s="2421" t="s">
        <v>2380</v>
      </c>
    </row>
    <row r="61" spans="1:18" s="2057" customFormat="1" ht="15.75" thickBot="1">
      <c r="A61" s="2094"/>
      <c r="B61" s="2095"/>
      <c r="C61" s="2095"/>
      <c r="I61" s="2403" t="s">
        <v>2361</v>
      </c>
      <c r="J61" s="2405" t="str">
        <f ca="1">IF(OR(M48="住宅",J52&lt;L49,J57="是"),"0",ROUND(J60/(1+J53)^J54,0))</f>
        <v>0</v>
      </c>
      <c r="K61" s="2406" t="s">
        <v>2366</v>
      </c>
      <c r="L61" s="2405" t="e">
        <f ca="1">IF(OR(M48="住宅",L49&lt;J52),0,ROUND(L58*(L59/L60-1),0))</f>
        <v>#DIV/0!</v>
      </c>
      <c r="O61" s="2423" t="s">
        <v>2384</v>
      </c>
      <c r="P61" s="2421" t="s">
        <v>2393</v>
      </c>
      <c r="Q61" s="2424">
        <f>L53</f>
        <v>0</v>
      </c>
      <c r="R61" s="2425"/>
    </row>
    <row r="62" spans="1:18" s="2057" customFormat="1" ht="20.25" thickBot="1">
      <c r="A62" s="2094"/>
      <c r="B62" s="2095"/>
      <c r="C62" s="2095"/>
      <c r="K62" s="2084"/>
      <c r="O62" s="2423" t="s">
        <v>2386</v>
      </c>
      <c r="P62" s="2421" t="s">
        <v>2394</v>
      </c>
      <c r="Q62" s="2422">
        <f ca="1">L59</f>
        <v>0</v>
      </c>
      <c r="R62" s="2425" t="s">
        <v>2395</v>
      </c>
    </row>
    <row r="63" spans="1:18" s="2057" customFormat="1" ht="20.25" thickBot="1">
      <c r="A63" s="2094"/>
      <c r="B63" s="2095"/>
      <c r="C63" s="2095"/>
      <c r="I63" s="2407" t="s">
        <v>2367</v>
      </c>
      <c r="J63" s="2408" t="s">
        <v>2368</v>
      </c>
      <c r="K63" s="2408" t="s">
        <v>2369</v>
      </c>
      <c r="L63" s="2408" t="s">
        <v>2350</v>
      </c>
      <c r="M63" s="3123" t="s">
        <v>2943</v>
      </c>
      <c r="O63" s="2423" t="s">
        <v>2388</v>
      </c>
      <c r="P63" s="2421" t="s">
        <v>2396</v>
      </c>
      <c r="Q63" s="2422">
        <f ca="1">L60</f>
        <v>0</v>
      </c>
      <c r="R63" s="2425" t="s">
        <v>2397</v>
      </c>
    </row>
    <row r="64" spans="1:18" s="2057" customFormat="1" ht="15.75" thickBot="1">
      <c r="A64" s="2094"/>
      <c r="B64" s="2095"/>
      <c r="C64" s="2095"/>
      <c r="I64" s="2407" t="s">
        <v>2370</v>
      </c>
      <c r="J64" s="2408">
        <v>70</v>
      </c>
      <c r="K64" s="2408">
        <v>50</v>
      </c>
      <c r="L64" s="2408">
        <v>80</v>
      </c>
      <c r="M64" s="3124">
        <v>0.02</v>
      </c>
      <c r="O64" s="2420" t="s">
        <v>2391</v>
      </c>
      <c r="P64" s="2421" t="s">
        <v>2408</v>
      </c>
      <c r="Q64" s="2422" t="e">
        <f ca="1">Q58+Q59</f>
        <v>#DIV/0!</v>
      </c>
      <c r="R64" s="2425" t="s">
        <v>2392</v>
      </c>
    </row>
    <row r="65" spans="1:18" s="2057" customFormat="1" ht="16.5" thickBot="1">
      <c r="A65" s="2094"/>
      <c r="B65" s="2095"/>
      <c r="C65" s="2095"/>
      <c r="I65" s="2407" t="s">
        <v>2371</v>
      </c>
      <c r="J65" s="2408">
        <v>50</v>
      </c>
      <c r="K65" s="2408">
        <v>35</v>
      </c>
      <c r="L65" s="2408">
        <v>60</v>
      </c>
      <c r="M65" s="3125">
        <v>0</v>
      </c>
      <c r="O65" s="2426" t="s">
        <v>2415</v>
      </c>
      <c r="P65" s="1589"/>
      <c r="Q65" s="1601"/>
      <c r="R65" s="1589"/>
    </row>
    <row r="66" spans="1:18" s="2057" customFormat="1" ht="15.75" thickBot="1">
      <c r="A66" s="2094"/>
      <c r="B66" s="2095"/>
      <c r="C66" s="2095"/>
      <c r="I66" s="2407" t="s">
        <v>2372</v>
      </c>
      <c r="J66" s="2408">
        <v>40</v>
      </c>
      <c r="K66" s="2408">
        <v>30</v>
      </c>
      <c r="L66" s="2408">
        <v>50</v>
      </c>
      <c r="M66" s="3124">
        <v>0.02</v>
      </c>
      <c r="O66" s="2417" t="s">
        <v>2375</v>
      </c>
      <c r="P66" s="2418" t="s">
        <v>2376</v>
      </c>
      <c r="Q66" s="2419" t="s">
        <v>2377</v>
      </c>
      <c r="R66" s="2418" t="s">
        <v>2378</v>
      </c>
    </row>
    <row r="67" spans="1:18" s="2057" customFormat="1" ht="15.75" thickBot="1">
      <c r="A67" s="2094"/>
      <c r="B67" s="2095"/>
      <c r="C67" s="2095"/>
      <c r="K67" s="2084"/>
      <c r="O67" s="2420" t="s">
        <v>2379</v>
      </c>
      <c r="P67" s="2421" t="s">
        <v>2405</v>
      </c>
      <c r="Q67" s="2422">
        <f ca="1">C41+J31</f>
        <v>0</v>
      </c>
      <c r="R67" s="2421" t="s">
        <v>2380</v>
      </c>
    </row>
    <row r="68" spans="1:18" s="2057" customFormat="1" ht="20.25" thickBot="1">
      <c r="A68" s="2094"/>
      <c r="B68" s="2095"/>
      <c r="C68" s="2095"/>
      <c r="K68" s="2084"/>
      <c r="O68" s="2420" t="s">
        <v>2381</v>
      </c>
      <c r="P68" s="2421" t="s">
        <v>2412</v>
      </c>
      <c r="Q68" s="2422" t="e">
        <f ca="1">L61</f>
        <v>#DIV/0!</v>
      </c>
      <c r="R68" s="2425" t="s">
        <v>2414</v>
      </c>
    </row>
    <row r="69" spans="1:18" s="2057" customFormat="1" ht="21.75" thickBot="1">
      <c r="A69" s="2094"/>
      <c r="B69" s="2095"/>
      <c r="C69" s="2095"/>
      <c r="K69" s="2084"/>
      <c r="O69" s="2423" t="s">
        <v>2383</v>
      </c>
      <c r="P69" s="2421" t="s">
        <v>2413</v>
      </c>
      <c r="Q69" s="2427">
        <f ca="1">L52</f>
        <v>0</v>
      </c>
      <c r="R69" s="2428" t="s">
        <v>2416</v>
      </c>
    </row>
    <row r="70" spans="1:18" s="2057" customFormat="1" ht="20.25" thickBot="1">
      <c r="A70" s="2094"/>
      <c r="B70" s="2095"/>
      <c r="C70" s="2095"/>
      <c r="K70" s="2084"/>
      <c r="O70" s="2423" t="s">
        <v>2384</v>
      </c>
      <c r="P70" s="2429" t="s">
        <v>2398</v>
      </c>
      <c r="Q70" s="2422">
        <f ca="1">ROUND(Q71-Q72*Q73,0)</f>
        <v>0</v>
      </c>
      <c r="R70" s="2425"/>
    </row>
    <row r="71" spans="1:18" s="2057" customFormat="1" ht="15.75" thickBot="1">
      <c r="A71" s="2094"/>
      <c r="B71" s="2095"/>
      <c r="C71" s="2095"/>
      <c r="K71" s="2084"/>
      <c r="O71" s="2423" t="s">
        <v>2399</v>
      </c>
      <c r="P71" s="2429" t="s">
        <v>2400</v>
      </c>
      <c r="Q71" s="2422">
        <f ca="1">C42</f>
        <v>0</v>
      </c>
      <c r="R71" s="2421" t="s">
        <v>2380</v>
      </c>
    </row>
    <row r="72" spans="1:18" s="2057" customFormat="1" ht="15.75" thickBot="1">
      <c r="A72" s="2094"/>
      <c r="B72" s="2095"/>
      <c r="C72" s="2095"/>
      <c r="K72" s="2084"/>
      <c r="O72" s="2423" t="s">
        <v>2401</v>
      </c>
      <c r="P72" s="2429" t="s">
        <v>2402</v>
      </c>
      <c r="Q72" s="2422">
        <f ca="1">C15</f>
        <v>0</v>
      </c>
      <c r="R72" s="2421" t="s">
        <v>2380</v>
      </c>
    </row>
    <row r="73" spans="1:18" s="2057" customFormat="1" ht="15.75" thickBot="1">
      <c r="A73" s="2094"/>
      <c r="B73" s="2095"/>
      <c r="C73" s="2095"/>
      <c r="K73" s="2084"/>
      <c r="O73" s="2423" t="s">
        <v>2403</v>
      </c>
      <c r="P73" s="2429" t="s">
        <v>2404</v>
      </c>
      <c r="Q73" s="2424">
        <f ca="1">F43</f>
        <v>0</v>
      </c>
      <c r="R73" s="2425"/>
    </row>
    <row r="74" spans="1:18" s="2057" customFormat="1" ht="15.75" thickBot="1">
      <c r="A74" s="2094"/>
      <c r="B74" s="2095"/>
      <c r="C74" s="2095"/>
      <c r="K74" s="2084"/>
      <c r="O74" s="2423" t="s">
        <v>2386</v>
      </c>
      <c r="P74" s="2421" t="s">
        <v>2393</v>
      </c>
      <c r="Q74" s="2424">
        <f>L53</f>
        <v>0</v>
      </c>
      <c r="R74" s="2425"/>
    </row>
    <row r="75" spans="1:18" s="2057" customFormat="1" ht="20.25" thickBot="1">
      <c r="A75" s="2094"/>
      <c r="B75" s="2095"/>
      <c r="C75" s="2095"/>
      <c r="K75" s="2084"/>
      <c r="O75" s="2423" t="s">
        <v>2388</v>
      </c>
      <c r="P75" s="2421" t="s">
        <v>2394</v>
      </c>
      <c r="Q75" s="2422">
        <f ca="1">L59</f>
        <v>0</v>
      </c>
      <c r="R75" s="2425" t="s">
        <v>2395</v>
      </c>
    </row>
    <row r="76" spans="1:18" s="2057" customFormat="1" ht="20.25" thickBot="1">
      <c r="A76" s="2094"/>
      <c r="B76" s="2095"/>
      <c r="C76" s="2095"/>
      <c r="K76" s="2084"/>
      <c r="O76" s="2423" t="s">
        <v>2417</v>
      </c>
      <c r="P76" s="2421" t="s">
        <v>2396</v>
      </c>
      <c r="Q76" s="2422">
        <f ca="1">L60</f>
        <v>0</v>
      </c>
      <c r="R76" s="2425" t="s">
        <v>2397</v>
      </c>
    </row>
    <row r="77" spans="1:18" s="2057" customFormat="1" ht="15.75" thickBot="1">
      <c r="A77" s="2094"/>
      <c r="B77" s="2095"/>
      <c r="C77" s="2095"/>
      <c r="K77" s="2084"/>
      <c r="O77" s="2420" t="s">
        <v>2391</v>
      </c>
      <c r="P77" s="2421" t="s">
        <v>2408</v>
      </c>
      <c r="Q77" s="2422" t="e">
        <f ca="1">Q67+Q68</f>
        <v>#DIV/0!</v>
      </c>
      <c r="R77" s="2425" t="s">
        <v>2392</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5"/>
    <col min="2" max="6" width="9" style="2685" customWidth="1"/>
    <col min="7" max="7" width="9" style="2701" customWidth="1"/>
    <col min="8" max="12" width="9" style="2685" customWidth="1"/>
    <col min="13" max="13" width="2.25" style="2685" customWidth="1"/>
    <col min="14" max="14" width="9" style="2701" customWidth="1"/>
    <col min="15" max="17" width="9" style="2685" customWidth="1"/>
    <col min="18" max="18" width="2.375" style="2685" customWidth="1"/>
    <col min="19" max="19" width="7.125" style="2701" customWidth="1"/>
    <col min="20" max="22" width="7.125" style="2685" customWidth="1"/>
    <col min="23" max="23" width="24" style="2685" customWidth="1"/>
    <col min="24" max="25" width="9" style="2685"/>
    <col min="26" max="27" width="11.625" style="2685" customWidth="1"/>
    <col min="28" max="28" width="9" style="2685"/>
    <col min="29" max="29" width="2" style="2685" customWidth="1"/>
    <col min="30" max="16384" width="9" style="2685"/>
  </cols>
  <sheetData>
    <row r="1" spans="1:34" s="2675" customFormat="1">
      <c r="B1" s="3511" t="s">
        <v>2576</v>
      </c>
      <c r="C1" s="3511"/>
      <c r="D1" s="3511"/>
      <c r="E1" s="3511"/>
      <c r="F1" s="3511"/>
      <c r="G1" s="3510" t="s">
        <v>2577</v>
      </c>
      <c r="H1" s="3510"/>
      <c r="I1" s="3510"/>
      <c r="J1" s="3510"/>
      <c r="K1" s="3510"/>
      <c r="L1" s="3510"/>
      <c r="N1" s="3510" t="s">
        <v>2578</v>
      </c>
      <c r="O1" s="3510"/>
      <c r="P1" s="3510"/>
      <c r="Q1" s="3510"/>
      <c r="R1" s="2676"/>
      <c r="S1" s="3510" t="s">
        <v>2579</v>
      </c>
      <c r="T1" s="3510"/>
      <c r="U1" s="3510"/>
      <c r="V1" s="3510"/>
      <c r="X1" s="3509" t="s">
        <v>2639</v>
      </c>
      <c r="Y1" s="3510"/>
      <c r="Z1" s="3510"/>
      <c r="AA1" s="3510"/>
      <c r="AB1" s="3510"/>
      <c r="AD1" s="3509" t="s">
        <v>2643</v>
      </c>
      <c r="AE1" s="3510"/>
      <c r="AF1" s="3510"/>
      <c r="AG1" s="3510"/>
      <c r="AH1" s="3510"/>
    </row>
    <row r="2" spans="1:34" s="2778" customFormat="1" ht="14.25" thickBot="1">
      <c r="B2" s="2786" t="s">
        <v>2580</v>
      </c>
      <c r="C2" s="2786" t="s">
        <v>2641</v>
      </c>
      <c r="D2" s="2779" t="s">
        <v>1641</v>
      </c>
      <c r="E2" s="2779" t="s">
        <v>1948</v>
      </c>
      <c r="F2" s="2786" t="s">
        <v>2642</v>
      </c>
      <c r="G2" s="2782"/>
      <c r="H2" s="2781"/>
      <c r="I2" s="2786" t="s">
        <v>2958</v>
      </c>
      <c r="J2" s="2779" t="s">
        <v>2960</v>
      </c>
      <c r="K2" s="2779" t="s">
        <v>2961</v>
      </c>
      <c r="L2" s="2786" t="s">
        <v>2962</v>
      </c>
      <c r="N2" s="2786" t="s">
        <v>2580</v>
      </c>
      <c r="O2" s="2779" t="s">
        <v>2959</v>
      </c>
      <c r="P2" s="2779" t="s">
        <v>1948</v>
      </c>
      <c r="Q2" s="2786" t="s">
        <v>2642</v>
      </c>
      <c r="R2" s="2780"/>
      <c r="S2" s="2786" t="s">
        <v>2580</v>
      </c>
      <c r="T2" s="2779" t="s">
        <v>2959</v>
      </c>
      <c r="U2" s="2779" t="s">
        <v>1948</v>
      </c>
      <c r="V2" s="2786" t="s">
        <v>2642</v>
      </c>
      <c r="X2" s="2786" t="s">
        <v>2580</v>
      </c>
      <c r="Y2" s="2786" t="s">
        <v>2641</v>
      </c>
      <c r="Z2" s="2779" t="s">
        <v>1641</v>
      </c>
      <c r="AA2" s="2779" t="s">
        <v>1948</v>
      </c>
      <c r="AB2" s="2786" t="s">
        <v>2642</v>
      </c>
      <c r="AD2" s="2786" t="s">
        <v>2580</v>
      </c>
      <c r="AE2" s="2786" t="s">
        <v>2641</v>
      </c>
      <c r="AF2" s="2779" t="s">
        <v>1641</v>
      </c>
      <c r="AG2" s="2779" t="s">
        <v>1948</v>
      </c>
      <c r="AH2" s="2786" t="s">
        <v>2642</v>
      </c>
    </row>
    <row r="3" spans="1:34" s="3159" customFormat="1" ht="14.25">
      <c r="A3" s="3171" t="s">
        <v>2971</v>
      </c>
      <c r="B3" s="3160"/>
      <c r="C3" s="3160"/>
      <c r="D3" s="3161"/>
      <c r="E3" s="3161"/>
      <c r="F3" s="3160"/>
      <c r="G3" s="3162"/>
      <c r="H3" s="3163"/>
      <c r="I3" s="3170">
        <f>ROUND(AVERAGE($I7:$I22),2)</f>
        <v>2.4500000000000002</v>
      </c>
      <c r="J3" s="3170">
        <f>ROUND(AVERAGE($J7:$J22),2)</f>
        <v>1.65</v>
      </c>
      <c r="K3" s="3170">
        <f>ROUND(AVERAGE($K7:$K22),2)</f>
        <v>2.71</v>
      </c>
      <c r="L3" s="3170">
        <f>ROUND(AVERAGE($L7:$L22),2)</f>
        <v>1.39</v>
      </c>
      <c r="N3" s="3162"/>
      <c r="O3" s="3164"/>
      <c r="P3" s="3164"/>
      <c r="Q3" s="3164"/>
      <c r="R3" s="3164"/>
      <c r="S3" s="3162"/>
      <c r="T3" s="3164"/>
      <c r="U3" s="3164"/>
      <c r="V3" s="3164"/>
      <c r="W3" s="3167"/>
      <c r="X3" s="3165">
        <f>ROUND(SUMPRODUCT(PRODUCT(1+N3:N$21)),4)</f>
        <v>1.4517</v>
      </c>
      <c r="Y3" s="3165">
        <f>ROUND(SUMPRODUCT(PRODUCT(1+O3:O$21)),4)</f>
        <v>1.2928999999999999</v>
      </c>
      <c r="Z3" s="3165">
        <f t="shared" ref="Z3:Z19" si="0">Y3</f>
        <v>1.2928999999999999</v>
      </c>
      <c r="AA3" s="3165">
        <f>ROUND(SUMPRODUCT(PRODUCT(1+P3:P$21)),4)</f>
        <v>1.5068999999999999</v>
      </c>
      <c r="AB3" s="3165">
        <f>ROUND(SUMPRODUCT(PRODUCT(1+Q3:Q$21)),4)</f>
        <v>1.2557</v>
      </c>
      <c r="AD3" s="3166">
        <f>ROUND(AVERAGE(I3:I$22)/100,4)</f>
        <v>2.2800000000000001E-2</v>
      </c>
      <c r="AE3" s="3166">
        <f>ROUND(AVERAGE(J3:J$22)/100,4)</f>
        <v>1.5699999999999999E-2</v>
      </c>
      <c r="AF3" s="3166">
        <f t="shared" ref="AF3:AF20" si="1">AE3</f>
        <v>1.5699999999999999E-2</v>
      </c>
      <c r="AG3" s="3166">
        <f>ROUND(AVERAGE(K3:K$22)/100,4)</f>
        <v>2.5100000000000001E-2</v>
      </c>
      <c r="AH3" s="3166">
        <f>ROUND(AVERAGE(L3:L$22)/100,4)</f>
        <v>1.35E-2</v>
      </c>
    </row>
    <row r="4" spans="1:34" s="2771" customFormat="1" ht="14.25">
      <c r="B4" s="2772"/>
      <c r="C4" s="2772"/>
      <c r="D4" s="2773"/>
      <c r="E4" s="2773"/>
      <c r="F4" s="2772"/>
      <c r="G4" s="2777"/>
      <c r="H4" s="2774"/>
      <c r="I4" s="3152"/>
      <c r="J4" s="3152"/>
      <c r="K4" s="3152"/>
      <c r="L4" s="3152"/>
      <c r="N4" s="2777"/>
      <c r="O4" s="2775"/>
      <c r="P4" s="2775"/>
      <c r="Q4" s="2775"/>
      <c r="R4" s="2775"/>
      <c r="S4" s="2777"/>
      <c r="T4" s="2775"/>
      <c r="U4" s="2775"/>
      <c r="V4" s="2775"/>
      <c r="W4" s="3168"/>
      <c r="X4" s="2776"/>
      <c r="Y4" s="2776"/>
      <c r="Z4" s="2776"/>
      <c r="AA4" s="2776"/>
      <c r="AB4" s="2776"/>
      <c r="AD4" s="2696"/>
      <c r="AE4" s="2696"/>
      <c r="AF4" s="2696"/>
      <c r="AG4" s="2696"/>
      <c r="AH4" s="2696"/>
    </row>
    <row r="5" spans="1:34" s="3138" customFormat="1">
      <c r="A5" s="3136" t="s">
        <v>2978</v>
      </c>
      <c r="B5" s="2817">
        <f>B6*(1+N5)</f>
        <v>446.46299999999997</v>
      </c>
      <c r="C5" s="2817">
        <f t="shared" ref="C5" si="2">C6*(1+O5)</f>
        <v>333.27840000000003</v>
      </c>
      <c r="D5" s="2817">
        <f t="shared" ref="D5" si="3">C5</f>
        <v>333.27840000000003</v>
      </c>
      <c r="E5" s="2817">
        <f t="shared" ref="E5" si="4">E6*(1+P5)</f>
        <v>637.28279999999995</v>
      </c>
      <c r="F5" s="2817">
        <f t="shared" ref="F5" si="5">F6*(1+Q5)</f>
        <v>288.68830000000003</v>
      </c>
      <c r="G5" s="2777">
        <v>2018</v>
      </c>
      <c r="H5" s="3137">
        <v>2</v>
      </c>
      <c r="I5" s="3153">
        <v>0</v>
      </c>
      <c r="J5" s="3153">
        <v>0</v>
      </c>
      <c r="K5" s="3153">
        <v>0</v>
      </c>
      <c r="L5" s="3153">
        <v>0</v>
      </c>
      <c r="N5" s="2784">
        <f t="shared" ref="N5" si="6">I5/100</f>
        <v>0</v>
      </c>
      <c r="O5" s="2784">
        <f t="shared" ref="O5" si="7">J5/100</f>
        <v>0</v>
      </c>
      <c r="P5" s="2784">
        <f t="shared" ref="P5" si="8">K5/100</f>
        <v>0</v>
      </c>
      <c r="Q5" s="2784">
        <f t="shared" ref="Q5" si="9">L5/100</f>
        <v>0</v>
      </c>
      <c r="R5" s="3139"/>
      <c r="S5" s="3140"/>
      <c r="T5" s="3139"/>
      <c r="U5" s="3139"/>
      <c r="V5" s="3139"/>
      <c r="W5" s="3169" t="s">
        <v>2972</v>
      </c>
      <c r="X5" s="3141">
        <f>ROUND(SUMPRODUCT(PRODUCT(1+N5:N$21)),4)</f>
        <v>1.4517</v>
      </c>
      <c r="Y5" s="3141">
        <f>ROUND(SUMPRODUCT(PRODUCT(1+O5:O$21)),4)</f>
        <v>1.2928999999999999</v>
      </c>
      <c r="Z5" s="3141">
        <f t="shared" ref="Z5" si="10">Y5</f>
        <v>1.2928999999999999</v>
      </c>
      <c r="AA5" s="3141">
        <f>ROUND(SUMPRODUCT(PRODUCT(1+P5:P$21)),4)</f>
        <v>1.5068999999999999</v>
      </c>
      <c r="AB5" s="3141">
        <f>ROUND(SUMPRODUCT(PRODUCT(1+Q5:Q$21)),4)</f>
        <v>1.2557</v>
      </c>
      <c r="AD5" s="3142">
        <f>ROUND(AVERAGE(I5:I$22)/100,4)</f>
        <v>2.2700000000000001E-2</v>
      </c>
      <c r="AE5" s="3142">
        <f>ROUND(AVERAGE(J5:J$22)/100,4)</f>
        <v>1.5699999999999999E-2</v>
      </c>
      <c r="AF5" s="3142">
        <f t="shared" ref="AF5" si="11">AE5</f>
        <v>1.5699999999999999E-2</v>
      </c>
      <c r="AG5" s="3142">
        <f>ROUND(AVERAGE(K5:K$22)/100,4)</f>
        <v>2.5000000000000001E-2</v>
      </c>
      <c r="AH5" s="3142">
        <f>ROUND(AVERAGE(L5:L$22)/100,4)</f>
        <v>1.35E-2</v>
      </c>
    </row>
    <row r="6" spans="1:34" s="2783" customFormat="1" ht="13.5" thickBot="1">
      <c r="A6" s="2677" t="s">
        <v>2979</v>
      </c>
      <c r="B6" s="2691">
        <f>B7*(1+N6)</f>
        <v>446.46299999999997</v>
      </c>
      <c r="C6" s="2691">
        <f t="shared" ref="C6" si="12">C7*(1+O6)</f>
        <v>333.27840000000003</v>
      </c>
      <c r="D6" s="2691">
        <f t="shared" ref="D6:D11" si="13">C6</f>
        <v>333.27840000000003</v>
      </c>
      <c r="E6" s="2691">
        <f t="shared" ref="E6" si="14">E7*(1+P6)</f>
        <v>637.28279999999995</v>
      </c>
      <c r="F6" s="2691">
        <f t="shared" ref="F6" si="15">F7*(1+Q6)</f>
        <v>288.68830000000003</v>
      </c>
      <c r="G6" s="3158">
        <v>2018</v>
      </c>
      <c r="H6" s="2681">
        <v>1</v>
      </c>
      <c r="I6" s="2681">
        <v>1.7</v>
      </c>
      <c r="J6" s="2681">
        <v>1.92</v>
      </c>
      <c r="K6" s="2681">
        <v>1.64</v>
      </c>
      <c r="L6" s="2692">
        <v>2.0099999999999998</v>
      </c>
      <c r="M6" s="2685"/>
      <c r="N6" s="2686">
        <f t="shared" ref="N6:N11" si="16">I6/100</f>
        <v>1.7000000000000001E-2</v>
      </c>
      <c r="O6" s="2687">
        <f t="shared" ref="O6" si="17">J6/100</f>
        <v>1.9199999999999998E-2</v>
      </c>
      <c r="P6" s="2687">
        <f t="shared" ref="P6" si="18">K6/100</f>
        <v>1.6399999999999998E-2</v>
      </c>
      <c r="Q6" s="2687">
        <f t="shared" ref="Q6" si="19">L6/100</f>
        <v>2.0099999999999996E-2</v>
      </c>
      <c r="R6" s="2688"/>
      <c r="S6" s="2694">
        <f>B6/B7-1</f>
        <v>1.6999999999999904E-2</v>
      </c>
      <c r="T6" s="2695">
        <f>C6/C7-1</f>
        <v>1.9200000000000106E-2</v>
      </c>
      <c r="U6" s="2695">
        <f>E6/E7-1</f>
        <v>1.639999999999997E-2</v>
      </c>
      <c r="V6" s="2695">
        <f>F6/F7-1</f>
        <v>2.0100000000000007E-2</v>
      </c>
      <c r="W6" s="2685"/>
      <c r="X6" s="2776">
        <f>ROUND(SUMPRODUCT(PRODUCT(1+N6:N$21)),4)</f>
        <v>1.4517</v>
      </c>
      <c r="Y6" s="2776">
        <f>ROUND(SUMPRODUCT(PRODUCT(1+O6:O$21)),4)</f>
        <v>1.2928999999999999</v>
      </c>
      <c r="Z6" s="2776">
        <f t="shared" ref="Z6" si="20">Y6</f>
        <v>1.2928999999999999</v>
      </c>
      <c r="AA6" s="2776">
        <f>ROUND(SUMPRODUCT(PRODUCT(1+P6:P$21)),4)</f>
        <v>1.5068999999999999</v>
      </c>
      <c r="AB6" s="2776">
        <f>ROUND(SUMPRODUCT(PRODUCT(1+Q6:Q$21)),4)</f>
        <v>1.2557</v>
      </c>
      <c r="AC6" s="2685"/>
      <c r="AD6" s="2696">
        <f>ROUND(AVERAGE(I6:I$22)/100,4)</f>
        <v>2.4E-2</v>
      </c>
      <c r="AE6" s="2696">
        <f>ROUND(AVERAGE(J6:J$22)/100,4)</f>
        <v>1.66E-2</v>
      </c>
      <c r="AF6" s="2696">
        <f t="shared" ref="AF6" si="21">AE6</f>
        <v>1.66E-2</v>
      </c>
      <c r="AG6" s="2696">
        <f>ROUND(AVERAGE(K6:K$22)/100,4)</f>
        <v>2.6499999999999999E-2</v>
      </c>
      <c r="AH6" s="2696">
        <f>ROUND(AVERAGE(L6:L$22)/100,4)</f>
        <v>1.43E-2</v>
      </c>
    </row>
    <row r="7" spans="1:34">
      <c r="A7" s="2677" t="s">
        <v>2969</v>
      </c>
      <c r="B7" s="3173">
        <v>439</v>
      </c>
      <c r="C7" s="3173">
        <v>327</v>
      </c>
      <c r="D7" s="3173">
        <f t="shared" si="13"/>
        <v>327</v>
      </c>
      <c r="E7" s="3173">
        <v>627</v>
      </c>
      <c r="F7" s="3174">
        <v>283</v>
      </c>
      <c r="G7" s="3156">
        <v>2017</v>
      </c>
      <c r="H7" s="2678">
        <v>4</v>
      </c>
      <c r="I7" s="2678">
        <v>1.71</v>
      </c>
      <c r="J7" s="2678">
        <v>1.78</v>
      </c>
      <c r="K7" s="2678">
        <v>1.71</v>
      </c>
      <c r="L7" s="2679">
        <v>1.43</v>
      </c>
      <c r="N7" s="2686">
        <f t="shared" si="16"/>
        <v>1.7100000000000001E-2</v>
      </c>
      <c r="O7" s="2687">
        <f t="shared" ref="O7" si="22">J7/100</f>
        <v>1.78E-2</v>
      </c>
      <c r="P7" s="2687">
        <f t="shared" ref="P7" si="23">K7/100</f>
        <v>1.7100000000000001E-2</v>
      </c>
      <c r="Q7" s="2687">
        <f t="shared" ref="Q7" si="24">L7/100</f>
        <v>1.43E-2</v>
      </c>
      <c r="R7" s="2688"/>
      <c r="S7" s="2689"/>
      <c r="T7" s="2690"/>
      <c r="U7" s="2690"/>
      <c r="V7" s="2690"/>
      <c r="X7" s="2776">
        <f>ROUND(SUMPRODUCT(PRODUCT(1+N7:N$21)),4)</f>
        <v>1.4274</v>
      </c>
      <c r="Y7" s="2776">
        <f>ROUND(SUMPRODUCT(PRODUCT(1+O7:O$21)),4)</f>
        <v>1.2685</v>
      </c>
      <c r="Z7" s="2776">
        <f t="shared" si="0"/>
        <v>1.2685</v>
      </c>
      <c r="AA7" s="2776">
        <f>ROUND(SUMPRODUCT(PRODUCT(1+P7:P$21)),4)</f>
        <v>1.4825999999999999</v>
      </c>
      <c r="AB7" s="2776">
        <f>ROUND(SUMPRODUCT(PRODUCT(1+Q7:Q$21)),4)</f>
        <v>1.2309000000000001</v>
      </c>
      <c r="AD7" s="2696">
        <f>ROUND(AVERAGE(I7:I$22)/100,4)</f>
        <v>2.4500000000000001E-2</v>
      </c>
      <c r="AE7" s="2696">
        <f>ROUND(AVERAGE(J7:J$22)/100,4)</f>
        <v>1.6500000000000001E-2</v>
      </c>
      <c r="AF7" s="2696">
        <f t="shared" si="1"/>
        <v>1.6500000000000001E-2</v>
      </c>
      <c r="AG7" s="2696">
        <f>ROUND(AVERAGE(K7:K$22)/100,4)</f>
        <v>2.7099999999999999E-2</v>
      </c>
      <c r="AH7" s="2696">
        <f>ROUND(AVERAGE(L7:L$22)/100,4)</f>
        <v>1.3899999999999999E-2</v>
      </c>
    </row>
    <row r="8" spans="1:34" s="2783" customFormat="1" ht="13.5" thickBot="1">
      <c r="A8" s="2677" t="s">
        <v>2973</v>
      </c>
      <c r="B8" s="2691">
        <f t="shared" ref="B8:C10" si="25">B9*(1+N8)</f>
        <v>431.80730811680002</v>
      </c>
      <c r="C8" s="2691">
        <f t="shared" si="25"/>
        <v>320.57880516480003</v>
      </c>
      <c r="D8" s="2691">
        <f t="shared" si="13"/>
        <v>320.57880516480003</v>
      </c>
      <c r="E8" s="2691">
        <f t="shared" ref="E8:F10" si="26">E9*(1+P8)</f>
        <v>615.96110553196797</v>
      </c>
      <c r="F8" s="2691">
        <f t="shared" si="26"/>
        <v>279.46777300108801</v>
      </c>
      <c r="G8" s="3158"/>
      <c r="H8" s="2681">
        <v>3</v>
      </c>
      <c r="I8" s="2681">
        <v>2.98</v>
      </c>
      <c r="J8" s="2681">
        <v>2.11</v>
      </c>
      <c r="K8" s="2681">
        <v>3.24</v>
      </c>
      <c r="L8" s="2692">
        <v>1.72</v>
      </c>
      <c r="M8" s="2685"/>
      <c r="N8" s="2686">
        <f t="shared" si="16"/>
        <v>2.98E-2</v>
      </c>
      <c r="O8" s="2687">
        <f t="shared" ref="O8:O9" si="27">J8/100</f>
        <v>2.1099999999999997E-2</v>
      </c>
      <c r="P8" s="2687">
        <f t="shared" ref="P8:P9" si="28">K8/100</f>
        <v>3.2400000000000005E-2</v>
      </c>
      <c r="Q8" s="2687">
        <f t="shared" ref="Q8:Q9" si="29">L8/100</f>
        <v>1.72E-2</v>
      </c>
      <c r="R8" s="2688"/>
      <c r="S8" s="2694"/>
      <c r="T8" s="2695"/>
      <c r="U8" s="2695"/>
      <c r="V8" s="2695"/>
      <c r="W8" s="2685"/>
      <c r="X8" s="2776">
        <f>ROUND(SUMPRODUCT(PRODUCT(1+N8:N$21)),4)</f>
        <v>1.4034</v>
      </c>
      <c r="Y8" s="2776">
        <f>ROUND(SUMPRODUCT(PRODUCT(1+O8:O$21)),4)</f>
        <v>1.2463</v>
      </c>
      <c r="Z8" s="2776">
        <f t="shared" si="0"/>
        <v>1.2463</v>
      </c>
      <c r="AA8" s="2776">
        <f>ROUND(SUMPRODUCT(PRODUCT(1+P8:P$21)),4)</f>
        <v>1.4577</v>
      </c>
      <c r="AB8" s="2776">
        <f>ROUND(SUMPRODUCT(PRODUCT(1+Q8:Q$21)),4)</f>
        <v>1.2136</v>
      </c>
      <c r="AC8" s="2685"/>
      <c r="AD8" s="2696">
        <f>ROUND(AVERAGE(I8:I$22)/100,4)</f>
        <v>2.4899999999999999E-2</v>
      </c>
      <c r="AE8" s="2696">
        <f>ROUND(AVERAGE(J8:J$22)/100,4)</f>
        <v>1.6400000000000001E-2</v>
      </c>
      <c r="AF8" s="2696">
        <f t="shared" si="1"/>
        <v>1.6400000000000001E-2</v>
      </c>
      <c r="AG8" s="2696">
        <f>ROUND(AVERAGE(K8:K$22)/100,4)</f>
        <v>2.7799999999999998E-2</v>
      </c>
      <c r="AH8" s="2696">
        <f>ROUND(AVERAGE(L8:L$22)/100,4)</f>
        <v>1.3899999999999999E-2</v>
      </c>
    </row>
    <row r="9" spans="1:34" s="2675" customFormat="1">
      <c r="A9" s="2677" t="s">
        <v>2581</v>
      </c>
      <c r="B9" s="2691">
        <f t="shared" si="25"/>
        <v>419.31181600000002</v>
      </c>
      <c r="C9" s="2691">
        <f t="shared" si="25"/>
        <v>313.95436800000004</v>
      </c>
      <c r="D9" s="2691">
        <f t="shared" si="13"/>
        <v>313.95436800000004</v>
      </c>
      <c r="E9" s="2691">
        <f t="shared" si="26"/>
        <v>596.63028431999999</v>
      </c>
      <c r="F9" s="2691">
        <f t="shared" si="26"/>
        <v>274.74220703999998</v>
      </c>
      <c r="G9" s="3157"/>
      <c r="H9" s="2682">
        <v>2</v>
      </c>
      <c r="I9" s="2682">
        <v>3.4</v>
      </c>
      <c r="J9" s="2682">
        <v>2</v>
      </c>
      <c r="K9" s="2682">
        <v>3.82</v>
      </c>
      <c r="L9" s="2693">
        <v>1.68</v>
      </c>
      <c r="N9" s="2686">
        <f t="shared" si="16"/>
        <v>3.4000000000000002E-2</v>
      </c>
      <c r="O9" s="2687">
        <f t="shared" si="27"/>
        <v>0.02</v>
      </c>
      <c r="P9" s="2687">
        <f t="shared" si="28"/>
        <v>3.8199999999999998E-2</v>
      </c>
      <c r="Q9" s="2687">
        <f t="shared" si="29"/>
        <v>1.6799999999999999E-2</v>
      </c>
      <c r="R9" s="2676"/>
      <c r="S9" s="2680"/>
      <c r="T9" s="2676"/>
      <c r="U9" s="2676"/>
      <c r="V9" s="2676"/>
      <c r="X9" s="2776">
        <f>ROUND(SUMPRODUCT(PRODUCT(1+N9:N$21)),4)</f>
        <v>1.3628</v>
      </c>
      <c r="Y9" s="2776">
        <f>ROUND(SUMPRODUCT(PRODUCT(1+O9:O$21)),4)</f>
        <v>1.2205999999999999</v>
      </c>
      <c r="Z9" s="2776">
        <f t="shared" si="0"/>
        <v>1.2205999999999999</v>
      </c>
      <c r="AA9" s="2776">
        <f>ROUND(SUMPRODUCT(PRODUCT(1+P9:P$21)),4)</f>
        <v>1.4118999999999999</v>
      </c>
      <c r="AB9" s="2776">
        <f>ROUND(SUMPRODUCT(PRODUCT(1+Q9:Q$21)),4)</f>
        <v>1.1930000000000001</v>
      </c>
      <c r="AD9" s="2696">
        <f>ROUND(AVERAGE(I9:I$22)/100,4)</f>
        <v>2.46E-2</v>
      </c>
      <c r="AE9" s="2696">
        <f>ROUND(AVERAGE(J9:J$22)/100,4)</f>
        <v>1.6E-2</v>
      </c>
      <c r="AF9" s="2696">
        <f t="shared" si="1"/>
        <v>1.6E-2</v>
      </c>
      <c r="AG9" s="2696">
        <f>ROUND(AVERAGE(K9:K$22)/100,4)</f>
        <v>2.75E-2</v>
      </c>
      <c r="AH9" s="2696">
        <f>ROUND(AVERAGE(L9:L$22)/100,4)</f>
        <v>1.37E-2</v>
      </c>
    </row>
    <row r="10" spans="1:34" s="2783" customFormat="1" ht="13.5" thickBot="1">
      <c r="A10" s="2677" t="s">
        <v>2582</v>
      </c>
      <c r="B10" s="2691">
        <f t="shared" si="25"/>
        <v>405.524</v>
      </c>
      <c r="C10" s="2691">
        <f t="shared" si="25"/>
        <v>307.79840000000002</v>
      </c>
      <c r="D10" s="2691">
        <f t="shared" si="13"/>
        <v>307.79840000000002</v>
      </c>
      <c r="E10" s="2691">
        <f t="shared" si="26"/>
        <v>574.67759999999998</v>
      </c>
      <c r="F10" s="2691">
        <f t="shared" si="26"/>
        <v>270.20280000000002</v>
      </c>
      <c r="G10" s="3158"/>
      <c r="H10" s="2681">
        <v>1</v>
      </c>
      <c r="I10" s="2681">
        <v>3.45</v>
      </c>
      <c r="J10" s="2681">
        <v>1.92</v>
      </c>
      <c r="K10" s="2681">
        <v>3.92</v>
      </c>
      <c r="L10" s="2692">
        <v>1.58</v>
      </c>
      <c r="M10" s="2685"/>
      <c r="N10" s="2686">
        <f t="shared" si="16"/>
        <v>3.4500000000000003E-2</v>
      </c>
      <c r="O10" s="2687">
        <f t="shared" ref="O10" si="30">J10/100</f>
        <v>1.9199999999999998E-2</v>
      </c>
      <c r="P10" s="2687">
        <f t="shared" ref="P10" si="31">K10/100</f>
        <v>3.9199999999999999E-2</v>
      </c>
      <c r="Q10" s="2687">
        <f t="shared" ref="Q10" si="32">L10/100</f>
        <v>1.5800000000000002E-2</v>
      </c>
      <c r="R10" s="2688"/>
      <c r="S10" s="2694">
        <f>B10/B11-1</f>
        <v>3.4499999999999975E-2</v>
      </c>
      <c r="T10" s="2695">
        <f>C10/C11-1</f>
        <v>1.9200000000000106E-2</v>
      </c>
      <c r="U10" s="2695">
        <f>E10/E11-1</f>
        <v>3.9199999999999902E-2</v>
      </c>
      <c r="V10" s="2695">
        <f>F10/F11-1</f>
        <v>1.5800000000000036E-2</v>
      </c>
      <c r="W10" s="2685"/>
      <c r="X10" s="2776">
        <f>ROUND(SUMPRODUCT(PRODUCT(1+N10:N$21)),4)</f>
        <v>1.3180000000000001</v>
      </c>
      <c r="Y10" s="2776">
        <f>ROUND(SUMPRODUCT(PRODUCT(1+O10:O$21)),4)</f>
        <v>1.1966000000000001</v>
      </c>
      <c r="Z10" s="2776">
        <f t="shared" si="0"/>
        <v>1.1966000000000001</v>
      </c>
      <c r="AA10" s="2776">
        <f>ROUND(SUMPRODUCT(PRODUCT(1+P10:P$21)),4)</f>
        <v>1.36</v>
      </c>
      <c r="AB10" s="2776">
        <f>ROUND(SUMPRODUCT(PRODUCT(1+Q10:Q$21)),4)</f>
        <v>1.1733</v>
      </c>
      <c r="AC10" s="2685"/>
      <c r="AD10" s="2696">
        <f>ROUND(AVERAGE(I10:I$22)/100,4)</f>
        <v>2.3900000000000001E-2</v>
      </c>
      <c r="AE10" s="2696">
        <f>ROUND(AVERAGE(J10:J$22)/100,4)</f>
        <v>1.5699999999999999E-2</v>
      </c>
      <c r="AF10" s="2696">
        <f t="shared" si="1"/>
        <v>1.5699999999999999E-2</v>
      </c>
      <c r="AG10" s="2696">
        <f>ROUND(AVERAGE(K10:K$22)/100,4)</f>
        <v>2.6599999999999999E-2</v>
      </c>
      <c r="AH10" s="2696">
        <f>ROUND(AVERAGE(L10:L$22)/100,4)</f>
        <v>1.34E-2</v>
      </c>
    </row>
    <row r="11" spans="1:34">
      <c r="A11" s="2677" t="s">
        <v>967</v>
      </c>
      <c r="B11" s="2683">
        <v>392</v>
      </c>
      <c r="C11" s="2683">
        <v>302</v>
      </c>
      <c r="D11" s="2683">
        <f t="shared" si="13"/>
        <v>302</v>
      </c>
      <c r="E11" s="2683">
        <v>553</v>
      </c>
      <c r="F11" s="2684">
        <v>266</v>
      </c>
      <c r="G11" s="3508">
        <v>2016</v>
      </c>
      <c r="H11" s="2678">
        <v>4</v>
      </c>
      <c r="I11" s="2678">
        <v>4.5599999999999996</v>
      </c>
      <c r="J11" s="2678">
        <v>2.15</v>
      </c>
      <c r="K11" s="2678">
        <v>5.32</v>
      </c>
      <c r="L11" s="2679">
        <v>1.57</v>
      </c>
      <c r="N11" s="2686">
        <f t="shared" si="16"/>
        <v>4.5599999999999995E-2</v>
      </c>
      <c r="O11" s="2687">
        <f t="shared" ref="O11:Q26" si="33">J11/100</f>
        <v>2.1499999999999998E-2</v>
      </c>
      <c r="P11" s="2687">
        <f t="shared" si="33"/>
        <v>5.3200000000000004E-2</v>
      </c>
      <c r="Q11" s="2687">
        <f t="shared" si="33"/>
        <v>1.5700000000000002E-2</v>
      </c>
      <c r="R11" s="2688"/>
      <c r="S11" s="2689"/>
      <c r="T11" s="2690"/>
      <c r="U11" s="2690"/>
      <c r="V11" s="2690"/>
      <c r="X11" s="2776">
        <f>ROUND(SUMPRODUCT(PRODUCT(1+N11:N$21)),4)</f>
        <v>1.274</v>
      </c>
      <c r="Y11" s="2776">
        <f>ROUND(SUMPRODUCT(PRODUCT(1+O11:O$21)),4)</f>
        <v>1.1740999999999999</v>
      </c>
      <c r="Z11" s="2776">
        <f t="shared" si="0"/>
        <v>1.1740999999999999</v>
      </c>
      <c r="AA11" s="2776">
        <f>ROUND(SUMPRODUCT(PRODUCT(1+P11:P$21)),4)</f>
        <v>1.3087</v>
      </c>
      <c r="AB11" s="2776">
        <f>ROUND(SUMPRODUCT(PRODUCT(1+Q11:Q$21)),4)</f>
        <v>1.1551</v>
      </c>
      <c r="AD11" s="2696">
        <f>ROUND(AVERAGE(I11:I$22)/100,4)</f>
        <v>2.3E-2</v>
      </c>
      <c r="AE11" s="2696">
        <f>ROUND(AVERAGE(J11:J$22)/100,4)</f>
        <v>1.55E-2</v>
      </c>
      <c r="AF11" s="2696">
        <f t="shared" si="1"/>
        <v>1.55E-2</v>
      </c>
      <c r="AG11" s="2696">
        <f>ROUND(AVERAGE(K11:K$22)/100,4)</f>
        <v>2.5600000000000001E-2</v>
      </c>
      <c r="AH11" s="2696">
        <f>ROUND(AVERAGE(L11:L$22)/100,4)</f>
        <v>1.32E-2</v>
      </c>
    </row>
    <row r="12" spans="1:34">
      <c r="A12" s="2677" t="s">
        <v>966</v>
      </c>
      <c r="B12" s="2691">
        <f t="shared" ref="B12:C14" si="34">B11/(1+N11)</f>
        <v>374.90436113236416</v>
      </c>
      <c r="C12" s="2691">
        <f t="shared" si="34"/>
        <v>295.64366128242779</v>
      </c>
      <c r="D12" s="2691">
        <f t="shared" ref="D12:D71" si="35">C12</f>
        <v>295.64366128242779</v>
      </c>
      <c r="E12" s="2691">
        <f t="shared" ref="E12:F14" si="36">E11/(1+P11)</f>
        <v>525.06646410938095</v>
      </c>
      <c r="F12" s="2691">
        <f t="shared" si="36"/>
        <v>261.88835286009646</v>
      </c>
      <c r="G12" s="3506"/>
      <c r="H12" s="2681">
        <v>3</v>
      </c>
      <c r="I12" s="2681">
        <v>4.12</v>
      </c>
      <c r="J12" s="2681">
        <v>2</v>
      </c>
      <c r="K12" s="2681">
        <v>4.79</v>
      </c>
      <c r="L12" s="2692">
        <v>1.97</v>
      </c>
      <c r="N12" s="2686">
        <f t="shared" ref="N12:Q46" si="37">I12/100</f>
        <v>4.1200000000000001E-2</v>
      </c>
      <c r="O12" s="2687">
        <f t="shared" si="33"/>
        <v>0.02</v>
      </c>
      <c r="P12" s="2687">
        <f t="shared" si="33"/>
        <v>4.7899999999999998E-2</v>
      </c>
      <c r="Q12" s="2687">
        <f t="shared" si="33"/>
        <v>1.9699999999999999E-2</v>
      </c>
      <c r="R12" s="2688"/>
      <c r="S12" s="2686"/>
      <c r="T12" s="2687"/>
      <c r="U12" s="2687"/>
      <c r="V12" s="2687"/>
      <c r="X12" s="2776">
        <f>ROUND(SUMPRODUCT(PRODUCT(1+N12:N$21)),4)</f>
        <v>1.2184999999999999</v>
      </c>
      <c r="Y12" s="2776">
        <f>ROUND(SUMPRODUCT(PRODUCT(1+O12:O$21)),4)</f>
        <v>1.1494</v>
      </c>
      <c r="Z12" s="2776">
        <f t="shared" si="0"/>
        <v>1.1494</v>
      </c>
      <c r="AA12" s="2776">
        <f>ROUND(SUMPRODUCT(PRODUCT(1+P12:P$21)),4)</f>
        <v>1.2425999999999999</v>
      </c>
      <c r="AB12" s="2776">
        <f>ROUND(SUMPRODUCT(PRODUCT(1+Q12:Q$21)),4)</f>
        <v>1.1372</v>
      </c>
      <c r="AD12" s="2696">
        <f>ROUND(AVERAGE(I12:I$22)/100,4)</f>
        <v>2.0899999999999998E-2</v>
      </c>
      <c r="AE12" s="2696">
        <f>ROUND(AVERAGE(J12:J$22)/100,4)</f>
        <v>1.49E-2</v>
      </c>
      <c r="AF12" s="2696">
        <f t="shared" si="1"/>
        <v>1.49E-2</v>
      </c>
      <c r="AG12" s="2696">
        <f>ROUND(AVERAGE(K12:K$22)/100,4)</f>
        <v>2.3099999999999999E-2</v>
      </c>
      <c r="AH12" s="2696">
        <f>ROUND(AVERAGE(L12:L$22)/100,4)</f>
        <v>1.2999999999999999E-2</v>
      </c>
    </row>
    <row r="13" spans="1:34">
      <c r="A13" s="2677" t="s">
        <v>956</v>
      </c>
      <c r="B13" s="2691">
        <f t="shared" si="34"/>
        <v>360.06949782209392</v>
      </c>
      <c r="C13" s="2691">
        <f t="shared" si="34"/>
        <v>289.84672674747821</v>
      </c>
      <c r="D13" s="2691">
        <f t="shared" si="35"/>
        <v>289.84672674747821</v>
      </c>
      <c r="E13" s="2691">
        <f t="shared" si="36"/>
        <v>501.06543001181495</v>
      </c>
      <c r="F13" s="2691">
        <f t="shared" si="36"/>
        <v>256.82882500744967</v>
      </c>
      <c r="G13" s="3506"/>
      <c r="H13" s="2682">
        <v>2</v>
      </c>
      <c r="I13" s="2682">
        <v>3.85</v>
      </c>
      <c r="J13" s="2682">
        <v>1.95</v>
      </c>
      <c r="K13" s="2682">
        <v>4.4800000000000004</v>
      </c>
      <c r="L13" s="2693">
        <v>1.41</v>
      </c>
      <c r="N13" s="2686">
        <f t="shared" si="37"/>
        <v>3.85E-2</v>
      </c>
      <c r="O13" s="2687">
        <f t="shared" si="33"/>
        <v>1.95E-2</v>
      </c>
      <c r="P13" s="2687">
        <f t="shared" si="33"/>
        <v>4.4800000000000006E-2</v>
      </c>
      <c r="Q13" s="2687">
        <f t="shared" si="33"/>
        <v>1.41E-2</v>
      </c>
      <c r="R13" s="2688"/>
      <c r="S13" s="2686"/>
      <c r="T13" s="2687"/>
      <c r="U13" s="2687"/>
      <c r="V13" s="2687"/>
      <c r="X13" s="2776">
        <f>ROUND(SUMPRODUCT(PRODUCT(1+N13:N$21)),4)</f>
        <v>1.1702999999999999</v>
      </c>
      <c r="Y13" s="2776">
        <f>ROUND(SUMPRODUCT(PRODUCT(1+O13:O$21)),4)</f>
        <v>1.1269</v>
      </c>
      <c r="Z13" s="2776">
        <f t="shared" si="0"/>
        <v>1.1269</v>
      </c>
      <c r="AA13" s="2776">
        <f>ROUND(SUMPRODUCT(PRODUCT(1+P13:P$21)),4)</f>
        <v>1.1858</v>
      </c>
      <c r="AB13" s="2776">
        <f>ROUND(SUMPRODUCT(PRODUCT(1+Q13:Q$21)),4)</f>
        <v>1.1152</v>
      </c>
      <c r="AD13" s="2696">
        <f>ROUND(AVERAGE(I13:I$22)/100,4)</f>
        <v>1.89E-2</v>
      </c>
      <c r="AE13" s="2696">
        <f>ROUND(AVERAGE(J13:J$22)/100,4)</f>
        <v>1.44E-2</v>
      </c>
      <c r="AF13" s="2696">
        <f t="shared" si="1"/>
        <v>1.44E-2</v>
      </c>
      <c r="AG13" s="2696">
        <f>ROUND(AVERAGE(K13:K$22)/100,4)</f>
        <v>2.06E-2</v>
      </c>
      <c r="AH13" s="2696">
        <f>ROUND(AVERAGE(L13:L$22)/100,4)</f>
        <v>1.23E-2</v>
      </c>
    </row>
    <row r="14" spans="1:34" ht="13.5" thickBot="1">
      <c r="A14" s="2677" t="s">
        <v>965</v>
      </c>
      <c r="B14" s="2691">
        <f t="shared" si="34"/>
        <v>346.720748986128</v>
      </c>
      <c r="C14" s="2691">
        <f t="shared" si="34"/>
        <v>284.30282172386285</v>
      </c>
      <c r="D14" s="2691">
        <f t="shared" si="35"/>
        <v>284.30282172386285</v>
      </c>
      <c r="E14" s="2691">
        <f t="shared" si="36"/>
        <v>479.58023546306947</v>
      </c>
      <c r="F14" s="2691">
        <f t="shared" si="36"/>
        <v>253.25788877571213</v>
      </c>
      <c r="G14" s="3507"/>
      <c r="H14" s="2681">
        <v>1</v>
      </c>
      <c r="I14" s="2681">
        <v>4.09</v>
      </c>
      <c r="J14" s="2681">
        <v>2.93</v>
      </c>
      <c r="K14" s="2681">
        <v>4.54</v>
      </c>
      <c r="L14" s="2692">
        <v>1.48</v>
      </c>
      <c r="N14" s="2686">
        <f t="shared" si="37"/>
        <v>4.0899999999999999E-2</v>
      </c>
      <c r="O14" s="2687">
        <f t="shared" si="33"/>
        <v>2.9300000000000003E-2</v>
      </c>
      <c r="P14" s="2687">
        <f t="shared" si="33"/>
        <v>4.5400000000000003E-2</v>
      </c>
      <c r="Q14" s="2687">
        <f t="shared" si="33"/>
        <v>1.4800000000000001E-2</v>
      </c>
      <c r="R14" s="2688"/>
      <c r="S14" s="2694">
        <f>B14/B15-1</f>
        <v>4.1203450408792808E-2</v>
      </c>
      <c r="T14" s="2695">
        <f>C14/C15-1</f>
        <v>2.6363977342465095E-2</v>
      </c>
      <c r="U14" s="2695">
        <f>E14/E15-1</f>
        <v>4.4837114298626357E-2</v>
      </c>
      <c r="V14" s="2695">
        <f>F14/F15-1</f>
        <v>1.7099954922538574E-2</v>
      </c>
      <c r="X14" s="2776">
        <f>ROUND(SUMPRODUCT(PRODUCT(1+N14:N$21)),4)</f>
        <v>1.1269</v>
      </c>
      <c r="Y14" s="2776">
        <f>ROUND(SUMPRODUCT(PRODUCT(1+O14:O$21)),4)</f>
        <v>1.1052999999999999</v>
      </c>
      <c r="Z14" s="2776">
        <f t="shared" si="0"/>
        <v>1.1052999999999999</v>
      </c>
      <c r="AA14" s="2776">
        <f>ROUND(SUMPRODUCT(PRODUCT(1+P14:P$21)),4)</f>
        <v>1.1349</v>
      </c>
      <c r="AB14" s="2776">
        <f>ROUND(SUMPRODUCT(PRODUCT(1+Q14:Q$21)),4)</f>
        <v>1.0996999999999999</v>
      </c>
      <c r="AD14" s="2696">
        <f>ROUND(AVERAGE(I14:I$22)/100,4)</f>
        <v>1.67E-2</v>
      </c>
      <c r="AE14" s="2696">
        <f>ROUND(AVERAGE(J14:J$22)/100,4)</f>
        <v>1.38E-2</v>
      </c>
      <c r="AF14" s="2696">
        <f t="shared" si="1"/>
        <v>1.38E-2</v>
      </c>
      <c r="AG14" s="2696">
        <f>ROUND(AVERAGE(K14:K$22)/100,4)</f>
        <v>1.7899999999999999E-2</v>
      </c>
      <c r="AH14" s="2696">
        <f>ROUND(AVERAGE(L14:L$22)/100,4)</f>
        <v>1.21E-2</v>
      </c>
    </row>
    <row r="15" spans="1:34" ht="13.5" thickBot="1">
      <c r="A15" s="2677" t="s">
        <v>964</v>
      </c>
      <c r="B15" s="2683">
        <v>333</v>
      </c>
      <c r="C15" s="2683">
        <v>277</v>
      </c>
      <c r="D15" s="2683">
        <f t="shared" si="35"/>
        <v>277</v>
      </c>
      <c r="E15" s="2683">
        <v>459</v>
      </c>
      <c r="F15" s="2684">
        <v>249</v>
      </c>
      <c r="G15" s="3505">
        <v>2015</v>
      </c>
      <c r="H15" s="2697">
        <v>4</v>
      </c>
      <c r="I15" s="2697">
        <v>1.63</v>
      </c>
      <c r="J15" s="2697">
        <v>1.1100000000000001</v>
      </c>
      <c r="K15" s="2697">
        <v>1.77</v>
      </c>
      <c r="L15" s="2698">
        <v>1.89</v>
      </c>
      <c r="N15" s="2699">
        <f t="shared" si="37"/>
        <v>1.6299999999999999E-2</v>
      </c>
      <c r="O15" s="2700">
        <f t="shared" si="33"/>
        <v>1.11E-2</v>
      </c>
      <c r="P15" s="2700">
        <f t="shared" si="33"/>
        <v>1.77E-2</v>
      </c>
      <c r="Q15" s="2700">
        <f t="shared" si="33"/>
        <v>1.89E-2</v>
      </c>
      <c r="R15" s="2688"/>
      <c r="X15" s="2776">
        <f>ROUND(SUMPRODUCT(PRODUCT(1+N15:N$21)),4)</f>
        <v>1.0826</v>
      </c>
      <c r="Y15" s="2776">
        <f>ROUND(SUMPRODUCT(PRODUCT(1+O15:O$21)),4)</f>
        <v>1.0738000000000001</v>
      </c>
      <c r="Z15" s="2776">
        <f t="shared" si="0"/>
        <v>1.0738000000000001</v>
      </c>
      <c r="AA15" s="2776">
        <f>ROUND(SUMPRODUCT(PRODUCT(1+P15:P$21)),4)</f>
        <v>1.0855999999999999</v>
      </c>
      <c r="AB15" s="2776">
        <f>ROUND(SUMPRODUCT(PRODUCT(1+Q15:Q$21)),4)</f>
        <v>1.0837000000000001</v>
      </c>
      <c r="AD15" s="2696">
        <f>ROUND(AVERAGE(I15:I$22)/100,4)</f>
        <v>1.37E-2</v>
      </c>
      <c r="AE15" s="2696">
        <f>ROUND(AVERAGE(J15:J$22)/100,4)</f>
        <v>1.1900000000000001E-2</v>
      </c>
      <c r="AF15" s="2696">
        <f t="shared" si="1"/>
        <v>1.1900000000000001E-2</v>
      </c>
      <c r="AG15" s="2696">
        <f>ROUND(AVERAGE(K15:K$22)/100,4)</f>
        <v>1.4500000000000001E-2</v>
      </c>
      <c r="AH15" s="2696">
        <f>ROUND(AVERAGE(L15:L$22)/100,4)</f>
        <v>1.18E-2</v>
      </c>
    </row>
    <row r="16" spans="1:34">
      <c r="A16" s="2677" t="s">
        <v>963</v>
      </c>
      <c r="B16" s="2691">
        <f t="shared" ref="B16:C18" si="38">B15/(1+N15)</f>
        <v>327.65915576109415</v>
      </c>
      <c r="C16" s="2691">
        <f t="shared" si="38"/>
        <v>273.95905449510434</v>
      </c>
      <c r="D16" s="2691">
        <f t="shared" si="35"/>
        <v>273.95905449510434</v>
      </c>
      <c r="E16" s="2691">
        <f t="shared" ref="E16:F18" si="39">E15/(1+P15)</f>
        <v>451.01699911565294</v>
      </c>
      <c r="F16" s="2691">
        <f t="shared" si="39"/>
        <v>244.38119540681129</v>
      </c>
      <c r="G16" s="3506"/>
      <c r="H16" s="2702">
        <v>3</v>
      </c>
      <c r="I16" s="2702">
        <v>1.65</v>
      </c>
      <c r="J16" s="2702">
        <v>0.92</v>
      </c>
      <c r="K16" s="2702">
        <v>1.88</v>
      </c>
      <c r="L16" s="2703">
        <v>1.26</v>
      </c>
      <c r="N16" s="2686">
        <f t="shared" si="37"/>
        <v>1.6500000000000001E-2</v>
      </c>
      <c r="O16" s="2704">
        <f t="shared" si="33"/>
        <v>9.1999999999999998E-3</v>
      </c>
      <c r="P16" s="2704">
        <f t="shared" si="33"/>
        <v>1.8799999999999997E-2</v>
      </c>
      <c r="Q16" s="2704">
        <f t="shared" si="33"/>
        <v>1.26E-2</v>
      </c>
      <c r="R16" s="2688"/>
      <c r="S16" s="2686"/>
      <c r="T16" s="2687"/>
      <c r="U16" s="2687"/>
      <c r="V16" s="2687"/>
      <c r="X16" s="2776">
        <f>ROUND(SUMPRODUCT(PRODUCT(1+N16:N$21)),4)</f>
        <v>1.0651999999999999</v>
      </c>
      <c r="Y16" s="2776">
        <f>ROUND(SUMPRODUCT(PRODUCT(1+O16:O$21)),4)</f>
        <v>1.0621</v>
      </c>
      <c r="Z16" s="2776">
        <f t="shared" si="0"/>
        <v>1.0621</v>
      </c>
      <c r="AA16" s="2776">
        <f>ROUND(SUMPRODUCT(PRODUCT(1+P16:P$21)),4)</f>
        <v>1.0668</v>
      </c>
      <c r="AB16" s="2776">
        <f>ROUND(SUMPRODUCT(PRODUCT(1+Q16:Q$21)),4)</f>
        <v>1.0636000000000001</v>
      </c>
      <c r="AD16" s="2696">
        <f>ROUND(AVERAGE(I16:I$22)/100,4)</f>
        <v>1.3299999999999999E-2</v>
      </c>
      <c r="AE16" s="2696">
        <f>ROUND(AVERAGE(J16:J$22)/100,4)</f>
        <v>1.2E-2</v>
      </c>
      <c r="AF16" s="2696">
        <f t="shared" si="1"/>
        <v>1.2E-2</v>
      </c>
      <c r="AG16" s="2696">
        <f>ROUND(AVERAGE(K16:K$22)/100,4)</f>
        <v>1.4E-2</v>
      </c>
      <c r="AH16" s="2696">
        <f>ROUND(AVERAGE(L16:L$22)/100,4)</f>
        <v>1.0800000000000001E-2</v>
      </c>
    </row>
    <row r="17" spans="1:34">
      <c r="A17" s="2677" t="s">
        <v>962</v>
      </c>
      <c r="B17" s="2691">
        <f t="shared" si="38"/>
        <v>322.34053690220776</v>
      </c>
      <c r="C17" s="2691">
        <f t="shared" si="38"/>
        <v>271.46160770422546</v>
      </c>
      <c r="D17" s="2691">
        <f t="shared" si="35"/>
        <v>271.46160770422546</v>
      </c>
      <c r="E17" s="2691">
        <f t="shared" si="39"/>
        <v>442.69434542172456</v>
      </c>
      <c r="F17" s="2691">
        <f t="shared" si="39"/>
        <v>241.34030753190925</v>
      </c>
      <c r="G17" s="3506"/>
      <c r="H17" s="2682">
        <v>2</v>
      </c>
      <c r="I17" s="2682">
        <v>0.77</v>
      </c>
      <c r="J17" s="2682">
        <v>0.69</v>
      </c>
      <c r="K17" s="2682">
        <v>0.8</v>
      </c>
      <c r="L17" s="2693">
        <v>0.88</v>
      </c>
      <c r="N17" s="2686">
        <f t="shared" si="37"/>
        <v>7.7000000000000002E-3</v>
      </c>
      <c r="O17" s="2704">
        <f t="shared" si="33"/>
        <v>6.8999999999999999E-3</v>
      </c>
      <c r="P17" s="2704">
        <f t="shared" si="33"/>
        <v>8.0000000000000002E-3</v>
      </c>
      <c r="Q17" s="2704">
        <f t="shared" si="33"/>
        <v>8.8000000000000005E-3</v>
      </c>
      <c r="R17" s="2688"/>
      <c r="S17" s="2686"/>
      <c r="T17" s="2687"/>
      <c r="U17" s="2687"/>
      <c r="V17" s="2687"/>
      <c r="X17" s="2776">
        <f>ROUND(SUMPRODUCT(PRODUCT(1+N17:N$21)),4)</f>
        <v>1.048</v>
      </c>
      <c r="Y17" s="2776">
        <f>ROUND(SUMPRODUCT(PRODUCT(1+O17:O$21)),4)</f>
        <v>1.0524</v>
      </c>
      <c r="Z17" s="2776">
        <f t="shared" si="0"/>
        <v>1.0524</v>
      </c>
      <c r="AA17" s="2776">
        <f>ROUND(SUMPRODUCT(PRODUCT(1+P17:P$21)),4)</f>
        <v>1.0470999999999999</v>
      </c>
      <c r="AB17" s="2776">
        <f>ROUND(SUMPRODUCT(PRODUCT(1+Q17:Q$21)),4)</f>
        <v>1.0504</v>
      </c>
      <c r="AD17" s="2696">
        <f>ROUND(AVERAGE(I17:I$22)/100,4)</f>
        <v>1.2800000000000001E-2</v>
      </c>
      <c r="AE17" s="2696">
        <f>ROUND(AVERAGE(J17:J$22)/100,4)</f>
        <v>1.2500000000000001E-2</v>
      </c>
      <c r="AF17" s="2696">
        <f t="shared" si="1"/>
        <v>1.2500000000000001E-2</v>
      </c>
      <c r="AG17" s="2696">
        <f>ROUND(AVERAGE(K17:K$22)/100,4)</f>
        <v>1.32E-2</v>
      </c>
      <c r="AH17" s="2696">
        <f>ROUND(AVERAGE(L17:L$22)/100,4)</f>
        <v>1.0500000000000001E-2</v>
      </c>
    </row>
    <row r="18" spans="1:34">
      <c r="A18" s="2677" t="s">
        <v>961</v>
      </c>
      <c r="B18" s="2691">
        <f t="shared" si="38"/>
        <v>319.87748030386797</v>
      </c>
      <c r="C18" s="2691">
        <f t="shared" si="38"/>
        <v>269.60135833173649</v>
      </c>
      <c r="D18" s="2691">
        <f t="shared" si="35"/>
        <v>269.60135833173649</v>
      </c>
      <c r="E18" s="2691">
        <f t="shared" si="39"/>
        <v>439.18089823583784</v>
      </c>
      <c r="F18" s="2691">
        <f t="shared" si="39"/>
        <v>239.23503918706311</v>
      </c>
      <c r="G18" s="3507"/>
      <c r="H18" s="2681">
        <v>1</v>
      </c>
      <c r="I18" s="2681">
        <v>0.51</v>
      </c>
      <c r="J18" s="2681">
        <v>0.54</v>
      </c>
      <c r="K18" s="2681">
        <v>0.48</v>
      </c>
      <c r="L18" s="2692">
        <v>0.93</v>
      </c>
      <c r="N18" s="2694">
        <f t="shared" si="37"/>
        <v>5.1000000000000004E-3</v>
      </c>
      <c r="O18" s="2695">
        <f t="shared" si="33"/>
        <v>5.4000000000000003E-3</v>
      </c>
      <c r="P18" s="2695">
        <f t="shared" si="33"/>
        <v>4.7999999999999996E-3</v>
      </c>
      <c r="Q18" s="2695">
        <f t="shared" si="33"/>
        <v>9.300000000000001E-3</v>
      </c>
      <c r="R18" s="2688"/>
      <c r="S18" s="2694">
        <f>B18/B19-1</f>
        <v>5.9040261127922822E-3</v>
      </c>
      <c r="T18" s="2695">
        <f>C18/C19-1</f>
        <v>5.9752176557332781E-3</v>
      </c>
      <c r="U18" s="2695">
        <f>E18/E19-1</f>
        <v>4.9906138119859556E-3</v>
      </c>
      <c r="V18" s="2695">
        <f>F18/F19-1</f>
        <v>9.4305450930933787E-3</v>
      </c>
      <c r="X18" s="2776">
        <f>ROUND(SUMPRODUCT(PRODUCT(1+N18:N$21)),4)</f>
        <v>1.0399</v>
      </c>
      <c r="Y18" s="2776">
        <f>ROUND(SUMPRODUCT(PRODUCT(1+O18:O$21)),4)</f>
        <v>1.0451999999999999</v>
      </c>
      <c r="Z18" s="2776">
        <f t="shared" si="0"/>
        <v>1.0451999999999999</v>
      </c>
      <c r="AA18" s="2776">
        <f>ROUND(SUMPRODUCT(PRODUCT(1+P18:P$21)),4)</f>
        <v>1.0387999999999999</v>
      </c>
      <c r="AB18" s="2776">
        <f>ROUND(SUMPRODUCT(PRODUCT(1+Q18:Q$21)),4)</f>
        <v>1.0411999999999999</v>
      </c>
      <c r="AD18" s="2696">
        <f>ROUND(AVERAGE(I18:I$22)/100,4)</f>
        <v>1.38E-2</v>
      </c>
      <c r="AE18" s="2696">
        <f>ROUND(AVERAGE(J18:J$22)/100,4)</f>
        <v>1.3599999999999999E-2</v>
      </c>
      <c r="AF18" s="2696">
        <f t="shared" si="1"/>
        <v>1.3599999999999999E-2</v>
      </c>
      <c r="AG18" s="2696">
        <f>ROUND(AVERAGE(K18:K$22)/100,4)</f>
        <v>1.4200000000000001E-2</v>
      </c>
      <c r="AH18" s="2696">
        <f>ROUND(AVERAGE(L18:L$22)/100,4)</f>
        <v>1.0800000000000001E-2</v>
      </c>
    </row>
    <row r="19" spans="1:34" ht="13.5" thickBot="1">
      <c r="A19" s="2677" t="s">
        <v>960</v>
      </c>
      <c r="B19" s="2705">
        <v>318</v>
      </c>
      <c r="C19" s="2705">
        <v>268</v>
      </c>
      <c r="D19" s="2705">
        <f t="shared" si="35"/>
        <v>268</v>
      </c>
      <c r="E19" s="2705">
        <v>437</v>
      </c>
      <c r="F19" s="2706">
        <v>237</v>
      </c>
      <c r="G19" s="3505">
        <v>2014</v>
      </c>
      <c r="H19" s="2697">
        <v>4</v>
      </c>
      <c r="I19" s="2697">
        <v>0.21</v>
      </c>
      <c r="J19" s="2697">
        <v>0.41</v>
      </c>
      <c r="K19" s="2697">
        <v>0.12</v>
      </c>
      <c r="L19" s="2698">
        <v>0.89</v>
      </c>
      <c r="N19" s="2686">
        <f t="shared" si="37"/>
        <v>2.0999999999999999E-3</v>
      </c>
      <c r="O19" s="2687">
        <f t="shared" si="33"/>
        <v>4.0999999999999995E-3</v>
      </c>
      <c r="P19" s="2687">
        <f t="shared" si="33"/>
        <v>1.1999999999999999E-3</v>
      </c>
      <c r="Q19" s="2687">
        <f t="shared" si="33"/>
        <v>8.8999999999999999E-3</v>
      </c>
      <c r="R19" s="2688"/>
      <c r="S19" s="2689"/>
      <c r="T19" s="2690"/>
      <c r="U19" s="2690"/>
      <c r="V19" s="2690"/>
      <c r="X19" s="2776">
        <f>ROUND(SUMPRODUCT(PRODUCT(1+N19:N$21)),4)</f>
        <v>1.0347</v>
      </c>
      <c r="Y19" s="2776">
        <f>ROUND(SUMPRODUCT(PRODUCT(1+O19:O$21)),4)</f>
        <v>1.0395000000000001</v>
      </c>
      <c r="Z19" s="2776">
        <f t="shared" si="0"/>
        <v>1.0395000000000001</v>
      </c>
      <c r="AA19" s="2776">
        <f>ROUND(SUMPRODUCT(PRODUCT(1+P19:P$21)),4)</f>
        <v>1.0338000000000001</v>
      </c>
      <c r="AB19" s="2776">
        <f>ROUND(SUMPRODUCT(PRODUCT(1+Q19:Q$21)),4)</f>
        <v>1.0316000000000001</v>
      </c>
      <c r="AD19" s="2696">
        <f>ROUND(AVERAGE(I19:I$22)/100,4)</f>
        <v>1.6E-2</v>
      </c>
      <c r="AE19" s="2696">
        <f>ROUND(AVERAGE(J19:J$22)/100,4)</f>
        <v>1.5599999999999999E-2</v>
      </c>
      <c r="AF19" s="2696">
        <f t="shared" si="1"/>
        <v>1.5599999999999999E-2</v>
      </c>
      <c r="AG19" s="2696">
        <f>ROUND(AVERAGE(K19:K$22)/100,4)</f>
        <v>1.66E-2</v>
      </c>
      <c r="AH19" s="2696">
        <f>ROUND(AVERAGE(L19:L$22)/100,4)</f>
        <v>1.12E-2</v>
      </c>
    </row>
    <row r="20" spans="1:34">
      <c r="A20" s="2677" t="s">
        <v>959</v>
      </c>
      <c r="B20" s="2691">
        <f t="shared" ref="B20:C22" si="40">B19/(1+N19)</f>
        <v>317.33359944117353</v>
      </c>
      <c r="C20" s="2691">
        <f t="shared" si="40"/>
        <v>266.90568668459315</v>
      </c>
      <c r="D20" s="2691">
        <f t="shared" si="35"/>
        <v>266.90568668459315</v>
      </c>
      <c r="E20" s="2691">
        <f t="shared" ref="E20:F22" si="41">E19/(1+P19)</f>
        <v>436.47622852576905</v>
      </c>
      <c r="F20" s="2691">
        <f t="shared" si="41"/>
        <v>234.90930716622066</v>
      </c>
      <c r="G20" s="3506"/>
      <c r="H20" s="2707">
        <v>3</v>
      </c>
      <c r="I20" s="2707">
        <v>0.83</v>
      </c>
      <c r="J20" s="2707">
        <v>1.47</v>
      </c>
      <c r="K20" s="2707">
        <v>0.65</v>
      </c>
      <c r="L20" s="2708">
        <v>0.72</v>
      </c>
      <c r="N20" s="2686">
        <f t="shared" si="37"/>
        <v>8.3000000000000001E-3</v>
      </c>
      <c r="O20" s="2687">
        <f t="shared" si="33"/>
        <v>1.47E-2</v>
      </c>
      <c r="P20" s="2687">
        <f t="shared" si="33"/>
        <v>6.5000000000000006E-3</v>
      </c>
      <c r="Q20" s="2687">
        <f t="shared" si="33"/>
        <v>7.1999999999999998E-3</v>
      </c>
      <c r="R20" s="2688"/>
      <c r="S20" s="2686"/>
      <c r="T20" s="2687"/>
      <c r="U20" s="2687"/>
      <c r="V20" s="2687"/>
      <c r="X20" s="2776">
        <f>ROUND(SUMPRODUCT(PRODUCT(1+N20:N$21)),4)</f>
        <v>1.0325</v>
      </c>
      <c r="Y20" s="2776">
        <f>ROUND(SUMPRODUCT(PRODUCT(1+O20:O$21)),4)</f>
        <v>1.0353000000000001</v>
      </c>
      <c r="Z20" s="2776">
        <f t="shared" ref="Z20:Z21" si="42">Y20</f>
        <v>1.0353000000000001</v>
      </c>
      <c r="AA20" s="2776">
        <f>ROUND(SUMPRODUCT(PRODUCT(1+P20:P$21)),4)</f>
        <v>1.0326</v>
      </c>
      <c r="AB20" s="2776">
        <f>ROUND(SUMPRODUCT(PRODUCT(1+Q20:Q$21)),4)</f>
        <v>1.0225</v>
      </c>
      <c r="AD20" s="2696">
        <f>ROUND(AVERAGE(I20:I$22)/100,4)</f>
        <v>2.07E-2</v>
      </c>
      <c r="AE20" s="2696">
        <f>ROUND(AVERAGE(J20:J$22)/100,4)</f>
        <v>1.95E-2</v>
      </c>
      <c r="AF20" s="2696">
        <f t="shared" si="1"/>
        <v>1.95E-2</v>
      </c>
      <c r="AG20" s="2696">
        <f>ROUND(AVERAGE(K20:K$22)/100,4)</f>
        <v>2.1700000000000001E-2</v>
      </c>
      <c r="AH20" s="2696">
        <f>ROUND(AVERAGE(L20:L$22)/100,4)</f>
        <v>1.2E-2</v>
      </c>
    </row>
    <row r="21" spans="1:34" ht="13.5" thickBot="1">
      <c r="A21" s="2677" t="s">
        <v>958</v>
      </c>
      <c r="B21" s="2691">
        <f t="shared" si="40"/>
        <v>314.72141172386546</v>
      </c>
      <c r="C21" s="2691">
        <f t="shared" si="40"/>
        <v>263.03901319069001</v>
      </c>
      <c r="D21" s="2691">
        <f t="shared" si="35"/>
        <v>263.03901319069001</v>
      </c>
      <c r="E21" s="2691">
        <f t="shared" si="41"/>
        <v>433.65745506782821</v>
      </c>
      <c r="F21" s="2691">
        <f t="shared" si="41"/>
        <v>233.23005080045735</v>
      </c>
      <c r="G21" s="3506"/>
      <c r="H21" s="2697">
        <v>2</v>
      </c>
      <c r="I21" s="2697">
        <v>2.4</v>
      </c>
      <c r="J21" s="2697">
        <v>2.0299999999999998</v>
      </c>
      <c r="K21" s="2697">
        <v>2.59</v>
      </c>
      <c r="L21" s="2698">
        <v>1.52</v>
      </c>
      <c r="N21" s="2686">
        <f t="shared" si="37"/>
        <v>2.4E-2</v>
      </c>
      <c r="O21" s="2687">
        <f t="shared" si="33"/>
        <v>2.0299999999999999E-2</v>
      </c>
      <c r="P21" s="2687">
        <f t="shared" si="33"/>
        <v>2.5899999999999999E-2</v>
      </c>
      <c r="Q21" s="2687">
        <f t="shared" si="33"/>
        <v>1.52E-2</v>
      </c>
      <c r="R21" s="2688"/>
      <c r="S21" s="2686"/>
      <c r="T21" s="2687"/>
      <c r="U21" s="2687"/>
      <c r="V21" s="2687"/>
      <c r="X21" s="2776">
        <f>1+N21</f>
        <v>1.024</v>
      </c>
      <c r="Y21" s="2776">
        <f>1+O21</f>
        <v>1.0203</v>
      </c>
      <c r="Z21" s="2776">
        <f t="shared" si="42"/>
        <v>1.0203</v>
      </c>
      <c r="AA21" s="2776">
        <f>1+P21</f>
        <v>1.0259</v>
      </c>
      <c r="AB21" s="2776">
        <f>1+Q21</f>
        <v>1.0152000000000001</v>
      </c>
      <c r="AD21" s="2696">
        <f>ROUND(AVERAGE(I21:I$22)/100,4)</f>
        <v>2.69E-2</v>
      </c>
      <c r="AE21" s="2696">
        <f>ROUND(AVERAGE(J21:J$22)/100,4)</f>
        <v>2.1899999999999999E-2</v>
      </c>
      <c r="AF21" s="2696">
        <f t="shared" ref="AF21" si="43">AE21</f>
        <v>2.1899999999999999E-2</v>
      </c>
      <c r="AG21" s="2696">
        <f>ROUND(AVERAGE(K21:K$22)/100,4)</f>
        <v>2.9399999999999999E-2</v>
      </c>
      <c r="AH21" s="2696">
        <f>ROUND(AVERAGE(L21:L$22)/100,4)</f>
        <v>1.44E-2</v>
      </c>
    </row>
    <row r="22" spans="1:34" s="2713" customFormat="1" ht="13.5" thickBot="1">
      <c r="A22" s="2709" t="s">
        <v>957</v>
      </c>
      <c r="B22" s="2710">
        <f t="shared" si="40"/>
        <v>307.34512863658733</v>
      </c>
      <c r="C22" s="2710">
        <f t="shared" si="40"/>
        <v>257.80556031626975</v>
      </c>
      <c r="D22" s="2710">
        <f t="shared" si="35"/>
        <v>257.80556031626975</v>
      </c>
      <c r="E22" s="2710">
        <f t="shared" si="41"/>
        <v>422.70928459677179</v>
      </c>
      <c r="F22" s="2710">
        <f t="shared" si="41"/>
        <v>229.73803270336617</v>
      </c>
      <c r="G22" s="3507"/>
      <c r="H22" s="2711">
        <v>1</v>
      </c>
      <c r="I22" s="2711">
        <v>2.97</v>
      </c>
      <c r="J22" s="2711">
        <v>2.34</v>
      </c>
      <c r="K22" s="2711">
        <v>3.28</v>
      </c>
      <c r="L22" s="2712">
        <v>1.36</v>
      </c>
      <c r="N22" s="2714">
        <f t="shared" si="37"/>
        <v>2.9700000000000001E-2</v>
      </c>
      <c r="O22" s="2715">
        <f t="shared" si="33"/>
        <v>2.3399999999999997E-2</v>
      </c>
      <c r="P22" s="2715">
        <f t="shared" si="33"/>
        <v>3.2799999999999996E-2</v>
      </c>
      <c r="Q22" s="2715">
        <f t="shared" si="33"/>
        <v>1.3600000000000001E-2</v>
      </c>
      <c r="R22" s="2716"/>
      <c r="S22" s="2717">
        <f>B22/B23-1</f>
        <v>2.7910129219355539E-2</v>
      </c>
      <c r="T22" s="2718">
        <f>C22/C23-1</f>
        <v>2.3037937762975247E-2</v>
      </c>
      <c r="U22" s="2718">
        <f>E22/E23-1</f>
        <v>3.3519033243940788E-2</v>
      </c>
      <c r="V22" s="2718">
        <f>F22/F23-1</f>
        <v>1.2061818076502862E-2</v>
      </c>
      <c r="W22" s="2785" t="s">
        <v>2640</v>
      </c>
      <c r="X22" s="2787">
        <v>1</v>
      </c>
      <c r="Y22" s="2787">
        <v>1</v>
      </c>
      <c r="Z22" s="2787">
        <v>1</v>
      </c>
      <c r="AA22" s="2787">
        <v>1</v>
      </c>
      <c r="AB22" s="2787">
        <v>1</v>
      </c>
      <c r="AD22" s="3031">
        <f>I22/100</f>
        <v>2.9700000000000001E-2</v>
      </c>
      <c r="AE22" s="3031">
        <f>J22/100</f>
        <v>2.3399999999999997E-2</v>
      </c>
      <c r="AF22" s="3031">
        <f>AE22</f>
        <v>2.3399999999999997E-2</v>
      </c>
      <c r="AG22" s="3031">
        <f>K22/100</f>
        <v>3.2799999999999996E-2</v>
      </c>
      <c r="AH22" s="3031">
        <f>L22/100</f>
        <v>1.3600000000000001E-2</v>
      </c>
    </row>
    <row r="23" spans="1:34" ht="13.5" thickBot="1">
      <c r="A23" s="2677" t="s">
        <v>2583</v>
      </c>
      <c r="B23" s="2683">
        <v>299</v>
      </c>
      <c r="C23" s="2683">
        <v>252</v>
      </c>
      <c r="D23" s="2683">
        <f t="shared" si="35"/>
        <v>252</v>
      </c>
      <c r="E23" s="2683">
        <v>409</v>
      </c>
      <c r="F23" s="2684">
        <v>227</v>
      </c>
      <c r="G23" s="3512">
        <v>2013</v>
      </c>
      <c r="H23" s="2719">
        <v>4</v>
      </c>
      <c r="I23" s="2719">
        <v>1.83</v>
      </c>
      <c r="J23" s="2719">
        <v>1.68</v>
      </c>
      <c r="K23" s="2719">
        <v>1.97</v>
      </c>
      <c r="L23" s="2720">
        <v>0.87</v>
      </c>
      <c r="N23" s="2699">
        <f t="shared" si="37"/>
        <v>1.83E-2</v>
      </c>
      <c r="O23" s="2700">
        <f t="shared" si="33"/>
        <v>1.6799999999999999E-2</v>
      </c>
      <c r="P23" s="2700">
        <f t="shared" si="33"/>
        <v>1.9699999999999999E-2</v>
      </c>
      <c r="Q23" s="2700">
        <f t="shared" si="33"/>
        <v>8.6999999999999994E-3</v>
      </c>
      <c r="R23" s="2688"/>
      <c r="S23" s="2689"/>
      <c r="T23" s="2690"/>
      <c r="U23" s="2690"/>
      <c r="V23" s="2690"/>
      <c r="X23" s="2690"/>
      <c r="Y23" s="2690"/>
      <c r="Z23" s="2690"/>
    </row>
    <row r="24" spans="1:34">
      <c r="A24" s="2677" t="s">
        <v>2584</v>
      </c>
      <c r="B24" s="2691">
        <f t="shared" ref="B24:C26" si="44">B23/(1+N23)</f>
        <v>293.62663262299913</v>
      </c>
      <c r="C24" s="2691">
        <f t="shared" si="44"/>
        <v>247.83634933123525</v>
      </c>
      <c r="D24" s="2691">
        <f t="shared" si="35"/>
        <v>247.83634933123525</v>
      </c>
      <c r="E24" s="2691">
        <f t="shared" ref="E24:F26" si="45">E23/(1+P23)</f>
        <v>401.09836226341076</v>
      </c>
      <c r="F24" s="2691">
        <f t="shared" si="45"/>
        <v>225.04213343908003</v>
      </c>
      <c r="G24" s="3513"/>
      <c r="H24" s="2702">
        <v>3</v>
      </c>
      <c r="I24" s="2702">
        <v>1.86</v>
      </c>
      <c r="J24" s="2702">
        <v>1.72</v>
      </c>
      <c r="K24" s="2702">
        <v>1.98</v>
      </c>
      <c r="L24" s="2703">
        <v>0.88</v>
      </c>
      <c r="N24" s="2686">
        <f t="shared" si="37"/>
        <v>1.8600000000000002E-2</v>
      </c>
      <c r="O24" s="2704">
        <f t="shared" si="33"/>
        <v>1.72E-2</v>
      </c>
      <c r="P24" s="2704">
        <f t="shared" si="33"/>
        <v>1.9799999999999998E-2</v>
      </c>
      <c r="Q24" s="2704">
        <f t="shared" si="33"/>
        <v>8.8000000000000005E-3</v>
      </c>
      <c r="R24" s="2688"/>
      <c r="S24" s="2686"/>
      <c r="T24" s="2687"/>
      <c r="U24" s="2687"/>
      <c r="V24" s="2687"/>
    </row>
    <row r="25" spans="1:34">
      <c r="A25" s="2677" t="s">
        <v>2585</v>
      </c>
      <c r="B25" s="2691">
        <f t="shared" si="44"/>
        <v>288.2649053828776</v>
      </c>
      <c r="C25" s="2691">
        <f t="shared" si="44"/>
        <v>243.64564425013293</v>
      </c>
      <c r="D25" s="2691">
        <f t="shared" si="35"/>
        <v>243.64564425013293</v>
      </c>
      <c r="E25" s="2691">
        <f t="shared" si="45"/>
        <v>393.31080825986544</v>
      </c>
      <c r="F25" s="2691">
        <f t="shared" si="45"/>
        <v>223.07903790551154</v>
      </c>
      <c r="G25" s="3513"/>
      <c r="H25" s="2682">
        <v>2</v>
      </c>
      <c r="I25" s="2682">
        <v>2.04</v>
      </c>
      <c r="J25" s="2682">
        <v>2.33</v>
      </c>
      <c r="K25" s="2682">
        <v>2.0699999999999998</v>
      </c>
      <c r="L25" s="2693">
        <v>0.69</v>
      </c>
      <c r="N25" s="2686">
        <f t="shared" si="37"/>
        <v>2.0400000000000001E-2</v>
      </c>
      <c r="O25" s="2704">
        <f t="shared" si="33"/>
        <v>2.3300000000000001E-2</v>
      </c>
      <c r="P25" s="2704">
        <f t="shared" si="33"/>
        <v>2.07E-2</v>
      </c>
      <c r="Q25" s="2704">
        <f t="shared" si="33"/>
        <v>6.8999999999999999E-3</v>
      </c>
      <c r="R25" s="2688"/>
      <c r="S25" s="2686"/>
      <c r="T25" s="2687"/>
      <c r="U25" s="2687"/>
      <c r="V25" s="2687"/>
      <c r="X25" s="2788"/>
      <c r="Y25" s="2790"/>
    </row>
    <row r="26" spans="1:34">
      <c r="A26" s="2677" t="s">
        <v>2586</v>
      </c>
      <c r="B26" s="2691">
        <f t="shared" si="44"/>
        <v>282.50186729015837</v>
      </c>
      <c r="C26" s="2691">
        <f t="shared" si="44"/>
        <v>238.09796174155468</v>
      </c>
      <c r="D26" s="2691">
        <f t="shared" si="35"/>
        <v>238.09796174155468</v>
      </c>
      <c r="E26" s="2691">
        <f t="shared" si="45"/>
        <v>385.33438646014054</v>
      </c>
      <c r="F26" s="2691">
        <f t="shared" si="45"/>
        <v>221.55034055567739</v>
      </c>
      <c r="G26" s="3514"/>
      <c r="H26" s="2681">
        <v>1</v>
      </c>
      <c r="I26" s="2681">
        <v>1.67</v>
      </c>
      <c r="J26" s="2681">
        <v>1.31</v>
      </c>
      <c r="K26" s="2681">
        <v>1.85</v>
      </c>
      <c r="L26" s="2692">
        <v>0.96</v>
      </c>
      <c r="N26" s="2694">
        <f t="shared" si="37"/>
        <v>1.67E-2</v>
      </c>
      <c r="O26" s="2695">
        <f t="shared" si="33"/>
        <v>1.3100000000000001E-2</v>
      </c>
      <c r="P26" s="2695">
        <f t="shared" si="33"/>
        <v>1.8500000000000003E-2</v>
      </c>
      <c r="Q26" s="2695">
        <f t="shared" si="33"/>
        <v>9.5999999999999992E-3</v>
      </c>
      <c r="R26" s="2688"/>
      <c r="S26" s="2694">
        <f>B26/B27-1</f>
        <v>1.6193767230785472E-2</v>
      </c>
      <c r="T26" s="2695">
        <f>C26/C27-1</f>
        <v>1.7512657015190891E-2</v>
      </c>
      <c r="U26" s="2695">
        <f>E26/E27-1</f>
        <v>1.6713420739157048E-2</v>
      </c>
      <c r="V26" s="2695">
        <f>F26/F27-1</f>
        <v>7.0470025258062563E-3</v>
      </c>
      <c r="X26" s="2789"/>
      <c r="Y26" s="2696"/>
      <c r="Z26" s="2696"/>
    </row>
    <row r="27" spans="1:34" ht="13.5" thickBot="1">
      <c r="A27" s="2677" t="s">
        <v>2587</v>
      </c>
      <c r="B27" s="2721">
        <v>278</v>
      </c>
      <c r="C27" s="2721">
        <v>234</v>
      </c>
      <c r="D27" s="2721">
        <f t="shared" si="35"/>
        <v>234</v>
      </c>
      <c r="E27" s="2721">
        <v>379</v>
      </c>
      <c r="F27" s="2722">
        <v>220</v>
      </c>
      <c r="G27" s="3505">
        <v>2012</v>
      </c>
      <c r="H27" s="2697">
        <v>4</v>
      </c>
      <c r="I27" s="2697">
        <v>0.91</v>
      </c>
      <c r="J27" s="2697">
        <v>0.68</v>
      </c>
      <c r="K27" s="2697">
        <v>0.98</v>
      </c>
      <c r="L27" s="2698">
        <v>0.9</v>
      </c>
      <c r="N27" s="2686">
        <f t="shared" si="37"/>
        <v>9.1000000000000004E-3</v>
      </c>
      <c r="O27" s="2687">
        <f t="shared" si="37"/>
        <v>6.8000000000000005E-3</v>
      </c>
      <c r="P27" s="2687">
        <f t="shared" si="37"/>
        <v>9.7999999999999997E-3</v>
      </c>
      <c r="Q27" s="2687">
        <f t="shared" si="37"/>
        <v>9.0000000000000011E-3</v>
      </c>
      <c r="R27" s="2688"/>
      <c r="S27" s="2689"/>
      <c r="T27" s="2690"/>
      <c r="U27" s="2690"/>
      <c r="V27" s="2690"/>
      <c r="X27" s="2690"/>
      <c r="Y27" s="2690"/>
      <c r="Z27" s="2690"/>
    </row>
    <row r="28" spans="1:34">
      <c r="A28" s="2677" t="s">
        <v>2588</v>
      </c>
      <c r="B28" s="2691">
        <f>B27/(1+N27)</f>
        <v>275.49301357645425</v>
      </c>
      <c r="C28" s="2691">
        <f>C27/(1+O27)</f>
        <v>232.41954707985698</v>
      </c>
      <c r="D28" s="2691">
        <f t="shared" si="35"/>
        <v>232.41954707985698</v>
      </c>
      <c r="E28" s="2691">
        <f t="shared" ref="E28:F30" si="46">E27/(1+P27)</f>
        <v>375.32184591008121</v>
      </c>
      <c r="F28" s="2691">
        <f t="shared" si="46"/>
        <v>218.03766105054513</v>
      </c>
      <c r="G28" s="3506"/>
      <c r="H28" s="2702">
        <v>3</v>
      </c>
      <c r="I28" s="2702">
        <v>0.09</v>
      </c>
      <c r="J28" s="2702">
        <v>0.28999999999999998</v>
      </c>
      <c r="K28" s="2702">
        <v>-0.01</v>
      </c>
      <c r="L28" s="2703">
        <v>0.57999999999999996</v>
      </c>
      <c r="N28" s="2686">
        <f t="shared" si="37"/>
        <v>8.9999999999999998E-4</v>
      </c>
      <c r="O28" s="2687">
        <f t="shared" si="37"/>
        <v>2.8999999999999998E-3</v>
      </c>
      <c r="P28" s="2687">
        <f t="shared" si="37"/>
        <v>-1E-4</v>
      </c>
      <c r="Q28" s="2687">
        <f t="shared" si="37"/>
        <v>5.7999999999999996E-3</v>
      </c>
      <c r="R28" s="2688"/>
      <c r="S28" s="2686"/>
      <c r="T28" s="2687"/>
      <c r="U28" s="2687"/>
      <c r="V28" s="2687"/>
    </row>
    <row r="29" spans="1:34">
      <c r="A29" s="2677" t="s">
        <v>2589</v>
      </c>
      <c r="B29" s="2691">
        <f>B28/(1+N28)</f>
        <v>275.24529281292263</v>
      </c>
      <c r="C29" s="2691">
        <f>C28/(1+O28)</f>
        <v>231.74747938962707</v>
      </c>
      <c r="D29" s="2691">
        <f t="shared" si="35"/>
        <v>231.74747938962707</v>
      </c>
      <c r="E29" s="2691">
        <f t="shared" si="46"/>
        <v>375.35938184826603</v>
      </c>
      <c r="F29" s="2691">
        <f t="shared" si="46"/>
        <v>216.78033510692495</v>
      </c>
      <c r="G29" s="3506"/>
      <c r="H29" s="2682">
        <v>2</v>
      </c>
      <c r="I29" s="2682">
        <v>0.02</v>
      </c>
      <c r="J29" s="2682">
        <v>0.12</v>
      </c>
      <c r="K29" s="2682">
        <v>-0.08</v>
      </c>
      <c r="L29" s="2693">
        <v>1.24</v>
      </c>
      <c r="N29" s="2686">
        <f t="shared" si="37"/>
        <v>2.0000000000000001E-4</v>
      </c>
      <c r="O29" s="2687">
        <f t="shared" si="37"/>
        <v>1.1999999999999999E-3</v>
      </c>
      <c r="P29" s="2687">
        <f t="shared" si="37"/>
        <v>-8.0000000000000004E-4</v>
      </c>
      <c r="Q29" s="2687">
        <f t="shared" si="37"/>
        <v>1.24E-2</v>
      </c>
      <c r="R29" s="2688"/>
      <c r="S29" s="2686"/>
      <c r="T29" s="2687"/>
      <c r="U29" s="2687"/>
      <c r="V29" s="2687"/>
    </row>
    <row r="30" spans="1:34" ht="13.5" thickBot="1">
      <c r="A30" s="2677" t="s">
        <v>2590</v>
      </c>
      <c r="B30" s="2691">
        <f>B29/(1+N29)</f>
        <v>275.19025476197027</v>
      </c>
      <c r="C30" s="2723">
        <v>232</v>
      </c>
      <c r="D30" s="2723">
        <f t="shared" si="35"/>
        <v>232</v>
      </c>
      <c r="E30" s="2691">
        <f t="shared" si="46"/>
        <v>375.65990977608692</v>
      </c>
      <c r="F30" s="2691">
        <f t="shared" si="46"/>
        <v>214.12518283971252</v>
      </c>
      <c r="G30" s="3507"/>
      <c r="H30" s="2681">
        <v>1</v>
      </c>
      <c r="I30" s="2681">
        <v>0.02</v>
      </c>
      <c r="J30" s="2681">
        <v>0.13</v>
      </c>
      <c r="K30" s="2681">
        <v>-0.04</v>
      </c>
      <c r="L30" s="2692">
        <v>0.46</v>
      </c>
      <c r="N30" s="2686">
        <f t="shared" si="37"/>
        <v>2.0000000000000001E-4</v>
      </c>
      <c r="O30" s="2687">
        <f t="shared" si="37"/>
        <v>1.2999999999999999E-3</v>
      </c>
      <c r="P30" s="2687">
        <f t="shared" si="37"/>
        <v>-4.0000000000000002E-4</v>
      </c>
      <c r="Q30" s="2687">
        <f t="shared" si="37"/>
        <v>4.5999999999999999E-3</v>
      </c>
      <c r="R30" s="2688"/>
      <c r="S30" s="2694">
        <f>B30/B31-1</f>
        <v>6.9183549807361189E-4</v>
      </c>
      <c r="T30" s="2695">
        <f>C30/C31-1</f>
        <v>0</v>
      </c>
      <c r="U30" s="2695">
        <f>E30/E31-1</f>
        <v>-9.0449527636460303E-4</v>
      </c>
      <c r="V30" s="2695">
        <f>F30/F31-1</f>
        <v>5.2825485432512753E-3</v>
      </c>
      <c r="X30" s="2696"/>
      <c r="Y30" s="2696"/>
      <c r="Z30" s="2696"/>
    </row>
    <row r="31" spans="1:34" ht="13.5" thickBot="1">
      <c r="A31" s="2677" t="s">
        <v>2591</v>
      </c>
      <c r="B31" s="2683">
        <v>275</v>
      </c>
      <c r="C31" s="2683">
        <v>232</v>
      </c>
      <c r="D31" s="2683">
        <f t="shared" si="35"/>
        <v>232</v>
      </c>
      <c r="E31" s="2683">
        <v>376</v>
      </c>
      <c r="F31" s="2684">
        <v>213</v>
      </c>
      <c r="G31" s="3505">
        <v>2011</v>
      </c>
      <c r="H31" s="2697">
        <v>4</v>
      </c>
      <c r="I31" s="2697">
        <v>-0.2</v>
      </c>
      <c r="J31" s="2697">
        <v>0.04</v>
      </c>
      <c r="K31" s="2697">
        <v>-0.34</v>
      </c>
      <c r="L31" s="2698">
        <v>0.46</v>
      </c>
      <c r="N31" s="2699">
        <f t="shared" si="37"/>
        <v>-2E-3</v>
      </c>
      <c r="O31" s="2700">
        <f t="shared" si="37"/>
        <v>4.0000000000000002E-4</v>
      </c>
      <c r="P31" s="2700">
        <f t="shared" si="37"/>
        <v>-3.4000000000000002E-3</v>
      </c>
      <c r="Q31" s="2700">
        <f t="shared" si="37"/>
        <v>4.5999999999999999E-3</v>
      </c>
      <c r="R31" s="2688"/>
      <c r="S31" s="2689"/>
      <c r="T31" s="2690"/>
      <c r="U31" s="2690"/>
      <c r="V31" s="2690"/>
      <c r="X31" s="2690"/>
      <c r="Y31" s="2690"/>
      <c r="Z31" s="2690"/>
    </row>
    <row r="32" spans="1:34">
      <c r="A32" s="2677" t="s">
        <v>2592</v>
      </c>
      <c r="B32" s="2691">
        <f t="shared" ref="B32:C34" si="47">B31/(1+N31)</f>
        <v>275.55110220440883</v>
      </c>
      <c r="C32" s="2691">
        <f t="shared" si="47"/>
        <v>231.90723710515795</v>
      </c>
      <c r="D32" s="2691">
        <f t="shared" si="35"/>
        <v>231.90723710515795</v>
      </c>
      <c r="E32" s="2691">
        <f t="shared" ref="E32:F34" si="48">E31/(1+P31)</f>
        <v>377.28276138872161</v>
      </c>
      <c r="F32" s="2691">
        <f t="shared" si="48"/>
        <v>212.02468644236512</v>
      </c>
      <c r="G32" s="3506">
        <v>2011</v>
      </c>
      <c r="H32" s="2702">
        <v>3</v>
      </c>
      <c r="I32" s="2702">
        <v>0.13</v>
      </c>
      <c r="J32" s="2702">
        <v>0.75</v>
      </c>
      <c r="K32" s="2702">
        <v>-0.08</v>
      </c>
      <c r="L32" s="2703">
        <v>0.53</v>
      </c>
      <c r="N32" s="2686">
        <f t="shared" si="37"/>
        <v>1.2999999999999999E-3</v>
      </c>
      <c r="O32" s="2704">
        <f t="shared" si="37"/>
        <v>7.4999999999999997E-3</v>
      </c>
      <c r="P32" s="2704">
        <f t="shared" si="37"/>
        <v>-8.0000000000000004E-4</v>
      </c>
      <c r="Q32" s="2704">
        <f t="shared" si="37"/>
        <v>5.3E-3</v>
      </c>
      <c r="R32" s="2688"/>
      <c r="S32" s="2686"/>
      <c r="T32" s="2687"/>
      <c r="U32" s="2687"/>
      <c r="V32" s="2687"/>
    </row>
    <row r="33" spans="1:26">
      <c r="A33" s="2677" t="s">
        <v>2593</v>
      </c>
      <c r="B33" s="2691">
        <f t="shared" si="47"/>
        <v>275.19335084830601</v>
      </c>
      <c r="C33" s="2691">
        <f t="shared" si="47"/>
        <v>230.18088050139744</v>
      </c>
      <c r="D33" s="2691">
        <f t="shared" si="35"/>
        <v>230.18088050139744</v>
      </c>
      <c r="E33" s="2691">
        <f t="shared" si="48"/>
        <v>377.58482925212331</v>
      </c>
      <c r="F33" s="2691">
        <f t="shared" si="48"/>
        <v>210.90687997847917</v>
      </c>
      <c r="G33" s="3506">
        <v>2011</v>
      </c>
      <c r="H33" s="2682">
        <v>2</v>
      </c>
      <c r="I33" s="2682">
        <v>-0.4</v>
      </c>
      <c r="J33" s="2682">
        <v>0.17</v>
      </c>
      <c r="K33" s="2682">
        <v>-0.57999999999999996</v>
      </c>
      <c r="L33" s="2693">
        <v>-0.2</v>
      </c>
      <c r="N33" s="2686">
        <f t="shared" si="37"/>
        <v>-4.0000000000000001E-3</v>
      </c>
      <c r="O33" s="2704">
        <f t="shared" si="37"/>
        <v>1.7000000000000001E-3</v>
      </c>
      <c r="P33" s="2704">
        <f t="shared" si="37"/>
        <v>-5.7999999999999996E-3</v>
      </c>
      <c r="Q33" s="2704">
        <f t="shared" si="37"/>
        <v>-2E-3</v>
      </c>
      <c r="R33" s="2688"/>
      <c r="S33" s="2686"/>
      <c r="T33" s="2687"/>
      <c r="U33" s="2687"/>
      <c r="V33" s="2687"/>
    </row>
    <row r="34" spans="1:26" ht="13.5" thickBot="1">
      <c r="A34" s="2677" t="s">
        <v>2594</v>
      </c>
      <c r="B34" s="2691">
        <f t="shared" si="47"/>
        <v>276.29854502841971</v>
      </c>
      <c r="C34" s="2691">
        <f t="shared" si="47"/>
        <v>229.79023709833027</v>
      </c>
      <c r="D34" s="2691">
        <f t="shared" si="35"/>
        <v>229.79023709833027</v>
      </c>
      <c r="E34" s="2691">
        <f t="shared" si="48"/>
        <v>379.78759731655936</v>
      </c>
      <c r="F34" s="2691">
        <f t="shared" si="48"/>
        <v>211.32953905659235</v>
      </c>
      <c r="G34" s="3507">
        <v>2011</v>
      </c>
      <c r="H34" s="2681">
        <v>1</v>
      </c>
      <c r="I34" s="2681">
        <v>2.65</v>
      </c>
      <c r="J34" s="2681">
        <v>3.76</v>
      </c>
      <c r="K34" s="2681">
        <v>1.89</v>
      </c>
      <c r="L34" s="2692">
        <v>7.95</v>
      </c>
      <c r="N34" s="2694">
        <f t="shared" si="37"/>
        <v>2.6499999999999999E-2</v>
      </c>
      <c r="O34" s="2695">
        <f t="shared" si="37"/>
        <v>3.7599999999999995E-2</v>
      </c>
      <c r="P34" s="2695">
        <f t="shared" si="37"/>
        <v>1.89E-2</v>
      </c>
      <c r="Q34" s="2695">
        <f t="shared" si="37"/>
        <v>7.9500000000000001E-2</v>
      </c>
      <c r="R34" s="2688"/>
      <c r="S34" s="2694">
        <f>B34/B35-1</f>
        <v>2.713213765211786E-2</v>
      </c>
      <c r="T34" s="2695">
        <f>C34/C35-1</f>
        <v>3.9774828499231862E-2</v>
      </c>
      <c r="U34" s="2695">
        <f>E34/E35-1</f>
        <v>1.8197311840641772E-2</v>
      </c>
      <c r="V34" s="2695">
        <f>F34/F35-1</f>
        <v>7.8211933962205826E-2</v>
      </c>
      <c r="X34" s="2696"/>
      <c r="Y34" s="2696"/>
      <c r="Z34" s="2696"/>
    </row>
    <row r="35" spans="1:26" ht="13.5" thickBot="1">
      <c r="A35" s="2677" t="s">
        <v>2595</v>
      </c>
      <c r="B35" s="2683">
        <v>269</v>
      </c>
      <c r="C35" s="2683">
        <v>221</v>
      </c>
      <c r="D35" s="2683">
        <f t="shared" si="35"/>
        <v>221</v>
      </c>
      <c r="E35" s="2683">
        <v>373</v>
      </c>
      <c r="F35" s="2684">
        <v>196</v>
      </c>
      <c r="G35" s="3505">
        <v>2010</v>
      </c>
      <c r="H35" s="2697">
        <v>4</v>
      </c>
      <c r="I35" s="2697">
        <v>5.72</v>
      </c>
      <c r="J35" s="2697">
        <v>6.57</v>
      </c>
      <c r="K35" s="2697">
        <v>5.72</v>
      </c>
      <c r="L35" s="2698">
        <v>2.72</v>
      </c>
      <c r="N35" s="2686">
        <f t="shared" si="37"/>
        <v>5.7200000000000001E-2</v>
      </c>
      <c r="O35" s="2687">
        <f t="shared" si="37"/>
        <v>6.5700000000000008E-2</v>
      </c>
      <c r="P35" s="2687">
        <f t="shared" si="37"/>
        <v>5.7200000000000001E-2</v>
      </c>
      <c r="Q35" s="2687">
        <f t="shared" si="37"/>
        <v>2.7200000000000002E-2</v>
      </c>
      <c r="R35" s="2688"/>
      <c r="S35" s="2689"/>
      <c r="T35" s="2690"/>
      <c r="U35" s="2690"/>
      <c r="V35" s="2690"/>
      <c r="X35" s="2690"/>
      <c r="Y35" s="2690"/>
      <c r="Z35" s="2690"/>
    </row>
    <row r="36" spans="1:26">
      <c r="A36" s="2677" t="s">
        <v>2596</v>
      </c>
      <c r="B36" s="2691">
        <f t="shared" ref="B36:C38" si="49">B35/(1+N35)</f>
        <v>254.44570563753314</v>
      </c>
      <c r="C36" s="2691">
        <f t="shared" si="49"/>
        <v>207.37543398705074</v>
      </c>
      <c r="D36" s="2691">
        <f t="shared" si="35"/>
        <v>207.37543398705074</v>
      </c>
      <c r="E36" s="2691">
        <f t="shared" ref="E36:F38" si="50">E35/(1+P35)</f>
        <v>352.81876655315932</v>
      </c>
      <c r="F36" s="2691">
        <f t="shared" si="50"/>
        <v>190.809968847352</v>
      </c>
      <c r="G36" s="3506">
        <v>2010</v>
      </c>
      <c r="H36" s="2702">
        <v>3</v>
      </c>
      <c r="I36" s="2702">
        <v>4.7300000000000004</v>
      </c>
      <c r="J36" s="2702">
        <v>3.9</v>
      </c>
      <c r="K36" s="2702">
        <v>5.03</v>
      </c>
      <c r="L36" s="2703">
        <v>4.21</v>
      </c>
      <c r="N36" s="2686">
        <f t="shared" si="37"/>
        <v>4.7300000000000002E-2</v>
      </c>
      <c r="O36" s="2687">
        <f t="shared" si="37"/>
        <v>3.9E-2</v>
      </c>
      <c r="P36" s="2687">
        <f t="shared" si="37"/>
        <v>5.0300000000000004E-2</v>
      </c>
      <c r="Q36" s="2687">
        <f t="shared" si="37"/>
        <v>4.2099999999999999E-2</v>
      </c>
      <c r="R36" s="2688"/>
      <c r="S36" s="2686"/>
      <c r="T36" s="2687"/>
      <c r="U36" s="2687"/>
      <c r="V36" s="2687"/>
    </row>
    <row r="37" spans="1:26">
      <c r="A37" s="2677" t="s">
        <v>2597</v>
      </c>
      <c r="B37" s="2691">
        <f t="shared" si="49"/>
        <v>242.95398227588385</v>
      </c>
      <c r="C37" s="2691">
        <f t="shared" si="49"/>
        <v>199.59137053614126</v>
      </c>
      <c r="D37" s="2691">
        <f t="shared" si="35"/>
        <v>199.59137053614126</v>
      </c>
      <c r="E37" s="2691">
        <f t="shared" si="50"/>
        <v>335.92189522342125</v>
      </c>
      <c r="F37" s="2691">
        <f t="shared" si="50"/>
        <v>183.10139991109489</v>
      </c>
      <c r="G37" s="3506">
        <v>2010</v>
      </c>
      <c r="H37" s="2682">
        <v>2</v>
      </c>
      <c r="I37" s="2682">
        <v>4.6900000000000004</v>
      </c>
      <c r="J37" s="2682">
        <v>3.55</v>
      </c>
      <c r="K37" s="2682">
        <v>5.07</v>
      </c>
      <c r="L37" s="2693">
        <v>4.2300000000000004</v>
      </c>
      <c r="N37" s="2686">
        <f t="shared" si="37"/>
        <v>4.6900000000000004E-2</v>
      </c>
      <c r="O37" s="2687">
        <f t="shared" si="37"/>
        <v>3.5499999999999997E-2</v>
      </c>
      <c r="P37" s="2687">
        <f t="shared" si="37"/>
        <v>5.0700000000000002E-2</v>
      </c>
      <c r="Q37" s="2687">
        <f t="shared" si="37"/>
        <v>4.2300000000000004E-2</v>
      </c>
      <c r="R37" s="2688"/>
      <c r="S37" s="2686"/>
      <c r="T37" s="2687"/>
      <c r="U37" s="2687"/>
      <c r="V37" s="2687"/>
    </row>
    <row r="38" spans="1:26" ht="13.5" thickBot="1">
      <c r="A38" s="2677" t="s">
        <v>2598</v>
      </c>
      <c r="B38" s="2691">
        <f t="shared" si="49"/>
        <v>232.06990378821649</v>
      </c>
      <c r="C38" s="2691">
        <f t="shared" si="49"/>
        <v>192.74878854286936</v>
      </c>
      <c r="D38" s="2691">
        <f t="shared" si="35"/>
        <v>192.74878854286936</v>
      </c>
      <c r="E38" s="2691">
        <f t="shared" si="50"/>
        <v>319.71247284992984</v>
      </c>
      <c r="F38" s="2691">
        <f t="shared" si="50"/>
        <v>175.67053622862409</v>
      </c>
      <c r="G38" s="3507">
        <v>2010</v>
      </c>
      <c r="H38" s="2681">
        <v>1</v>
      </c>
      <c r="I38" s="2681">
        <v>5.4</v>
      </c>
      <c r="J38" s="2681">
        <v>3.2</v>
      </c>
      <c r="K38" s="2681">
        <v>6.16</v>
      </c>
      <c r="L38" s="2692">
        <v>4.51</v>
      </c>
      <c r="N38" s="2686">
        <f t="shared" si="37"/>
        <v>5.4000000000000006E-2</v>
      </c>
      <c r="O38" s="2687">
        <f t="shared" si="37"/>
        <v>3.2000000000000001E-2</v>
      </c>
      <c r="P38" s="2687">
        <f t="shared" si="37"/>
        <v>6.1600000000000002E-2</v>
      </c>
      <c r="Q38" s="2687">
        <f t="shared" si="37"/>
        <v>4.5100000000000001E-2</v>
      </c>
      <c r="R38" s="2688"/>
      <c r="S38" s="2694">
        <f>B38/B39-1</f>
        <v>5.4863199037347599E-2</v>
      </c>
      <c r="T38" s="2695">
        <f>C38/C39-1</f>
        <v>3.0742184721226584E-2</v>
      </c>
      <c r="U38" s="2695">
        <f>E38/E39-1</f>
        <v>6.2167683886810154E-2</v>
      </c>
      <c r="V38" s="2695">
        <f>F38/F39-1</f>
        <v>4.5657953741810031E-2</v>
      </c>
      <c r="X38" s="2696"/>
      <c r="Y38" s="2696"/>
      <c r="Z38" s="2696"/>
    </row>
    <row r="39" spans="1:26" ht="13.5" thickBot="1">
      <c r="A39" s="2677" t="s">
        <v>2599</v>
      </c>
      <c r="B39" s="2683">
        <v>220</v>
      </c>
      <c r="C39" s="2683">
        <v>187</v>
      </c>
      <c r="D39" s="2683">
        <f t="shared" si="35"/>
        <v>187</v>
      </c>
      <c r="E39" s="2683">
        <v>301</v>
      </c>
      <c r="F39" s="2684">
        <v>168</v>
      </c>
      <c r="G39" s="3505">
        <v>2009</v>
      </c>
      <c r="H39" s="2697">
        <v>4</v>
      </c>
      <c r="I39" s="2697">
        <v>2.2999999999999998</v>
      </c>
      <c r="J39" s="2697">
        <v>1.04</v>
      </c>
      <c r="K39" s="2697">
        <v>2.84</v>
      </c>
      <c r="L39" s="2698">
        <v>0.67</v>
      </c>
      <c r="N39" s="2699">
        <f t="shared" si="37"/>
        <v>2.3E-2</v>
      </c>
      <c r="O39" s="2700">
        <f t="shared" si="37"/>
        <v>1.04E-2</v>
      </c>
      <c r="P39" s="2700">
        <f t="shared" si="37"/>
        <v>2.8399999999999998E-2</v>
      </c>
      <c r="Q39" s="2700">
        <f t="shared" si="37"/>
        <v>6.7000000000000002E-3</v>
      </c>
      <c r="R39" s="2688"/>
      <c r="S39" s="2689"/>
      <c r="T39" s="2690"/>
      <c r="U39" s="2690"/>
      <c r="V39" s="2690"/>
      <c r="X39" s="2690"/>
      <c r="Y39" s="2690"/>
      <c r="Z39" s="2690"/>
    </row>
    <row r="40" spans="1:26">
      <c r="A40" s="2677" t="s">
        <v>2600</v>
      </c>
      <c r="B40" s="2691">
        <f t="shared" ref="B40:C42" si="51">B39/(1+N39)</f>
        <v>215.05376344086022</v>
      </c>
      <c r="C40" s="2691">
        <f t="shared" si="51"/>
        <v>185.0752177355503</v>
      </c>
      <c r="D40" s="2691">
        <f t="shared" si="35"/>
        <v>185.0752177355503</v>
      </c>
      <c r="E40" s="2691">
        <f t="shared" ref="E40:F42" si="52">E39/(1+P39)</f>
        <v>292.68767016725008</v>
      </c>
      <c r="F40" s="2691">
        <f t="shared" si="52"/>
        <v>166.88189132810174</v>
      </c>
      <c r="G40" s="3506">
        <v>2009</v>
      </c>
      <c r="H40" s="2702">
        <v>3</v>
      </c>
      <c r="I40" s="2702">
        <v>2.1</v>
      </c>
      <c r="J40" s="2702">
        <v>1.86</v>
      </c>
      <c r="K40" s="2702">
        <v>2.29</v>
      </c>
      <c r="L40" s="2703">
        <v>0.85</v>
      </c>
      <c r="N40" s="2686">
        <f t="shared" si="37"/>
        <v>2.1000000000000001E-2</v>
      </c>
      <c r="O40" s="2704">
        <f t="shared" si="37"/>
        <v>1.8600000000000002E-2</v>
      </c>
      <c r="P40" s="2704">
        <f t="shared" si="37"/>
        <v>2.29E-2</v>
      </c>
      <c r="Q40" s="2704">
        <f t="shared" si="37"/>
        <v>8.5000000000000006E-3</v>
      </c>
      <c r="R40" s="2688"/>
      <c r="S40" s="2686"/>
      <c r="T40" s="2687"/>
      <c r="U40" s="2687"/>
      <c r="V40" s="2687"/>
    </row>
    <row r="41" spans="1:26">
      <c r="A41" s="2677" t="s">
        <v>2601</v>
      </c>
      <c r="B41" s="2691">
        <f t="shared" si="51"/>
        <v>210.630522469011</v>
      </c>
      <c r="C41" s="2691">
        <f t="shared" si="51"/>
        <v>181.69567812247232</v>
      </c>
      <c r="D41" s="2691">
        <f t="shared" si="35"/>
        <v>181.69567812247232</v>
      </c>
      <c r="E41" s="2691">
        <f t="shared" si="52"/>
        <v>286.13517466736738</v>
      </c>
      <c r="F41" s="2691">
        <f t="shared" si="52"/>
        <v>165.47535084591149</v>
      </c>
      <c r="G41" s="3506">
        <v>2009</v>
      </c>
      <c r="H41" s="2682">
        <v>2</v>
      </c>
      <c r="I41" s="2682">
        <v>0.86</v>
      </c>
      <c r="J41" s="2682">
        <v>-1.1299999999999999</v>
      </c>
      <c r="K41" s="2682">
        <v>1.79</v>
      </c>
      <c r="L41" s="2693">
        <v>-2.0699999999999998</v>
      </c>
      <c r="N41" s="2686">
        <f t="shared" si="37"/>
        <v>8.6E-3</v>
      </c>
      <c r="O41" s="2704">
        <f t="shared" si="37"/>
        <v>-1.1299999999999999E-2</v>
      </c>
      <c r="P41" s="2704">
        <f t="shared" si="37"/>
        <v>1.7899999999999999E-2</v>
      </c>
      <c r="Q41" s="2704">
        <f t="shared" si="37"/>
        <v>-2.07E-2</v>
      </c>
      <c r="R41" s="2688"/>
      <c r="S41" s="2686"/>
      <c r="T41" s="2687"/>
      <c r="U41" s="2687"/>
      <c r="V41" s="2687"/>
    </row>
    <row r="42" spans="1:26">
      <c r="A42" s="2677" t="s">
        <v>2602</v>
      </c>
      <c r="B42" s="2691">
        <f t="shared" si="51"/>
        <v>208.83454537875372</v>
      </c>
      <c r="C42" s="2691">
        <f t="shared" si="51"/>
        <v>183.77230517090351</v>
      </c>
      <c r="D42" s="2691">
        <f t="shared" si="35"/>
        <v>183.77230517090351</v>
      </c>
      <c r="E42" s="2691">
        <f t="shared" si="52"/>
        <v>281.10342338870947</v>
      </c>
      <c r="F42" s="2691">
        <f t="shared" si="52"/>
        <v>168.97309388942256</v>
      </c>
      <c r="G42" s="3507">
        <v>2009</v>
      </c>
      <c r="H42" s="2681">
        <v>1</v>
      </c>
      <c r="I42" s="2681">
        <v>-2.64</v>
      </c>
      <c r="J42" s="2681">
        <v>-2.5299999999999998</v>
      </c>
      <c r="K42" s="2681">
        <v>-3.02</v>
      </c>
      <c r="L42" s="2692">
        <v>1.52</v>
      </c>
      <c r="N42" s="2694">
        <f t="shared" si="37"/>
        <v>-2.64E-2</v>
      </c>
      <c r="O42" s="2695">
        <f t="shared" si="37"/>
        <v>-2.53E-2</v>
      </c>
      <c r="P42" s="2695">
        <f t="shared" si="37"/>
        <v>-3.0200000000000001E-2</v>
      </c>
      <c r="Q42" s="2695">
        <f t="shared" si="37"/>
        <v>1.52E-2</v>
      </c>
      <c r="R42" s="2688"/>
      <c r="S42" s="2694">
        <f>B42/B43-1</f>
        <v>-2.4137638417038754E-2</v>
      </c>
      <c r="T42" s="2695">
        <f>C42/C43-1</f>
        <v>-2.248773845264096E-2</v>
      </c>
      <c r="U42" s="2695">
        <f>E42/E43-1</f>
        <v>-2.7323794502735366E-2</v>
      </c>
      <c r="V42" s="2695">
        <f>F42/F43-1</f>
        <v>1.7910204153148035E-2</v>
      </c>
      <c r="X42" s="2696"/>
      <c r="Y42" s="2696"/>
      <c r="Z42" s="2696"/>
    </row>
    <row r="43" spans="1:26" ht="13.5" thickBot="1">
      <c r="A43" s="2677" t="s">
        <v>2603</v>
      </c>
      <c r="B43" s="2721">
        <v>214</v>
      </c>
      <c r="C43" s="2721">
        <v>188</v>
      </c>
      <c r="D43" s="2721">
        <f t="shared" si="35"/>
        <v>188</v>
      </c>
      <c r="E43" s="2721">
        <v>289</v>
      </c>
      <c r="F43" s="2722">
        <v>166</v>
      </c>
      <c r="G43" s="3505">
        <v>2008</v>
      </c>
      <c r="H43" s="2697">
        <v>4</v>
      </c>
      <c r="I43" s="2697">
        <v>1.73</v>
      </c>
      <c r="J43" s="2697">
        <v>0.03</v>
      </c>
      <c r="K43" s="2697">
        <v>2.59</v>
      </c>
      <c r="L43" s="2698">
        <v>-1.66</v>
      </c>
      <c r="N43" s="2686">
        <f t="shared" si="37"/>
        <v>1.7299999999999999E-2</v>
      </c>
      <c r="O43" s="2687">
        <f t="shared" si="37"/>
        <v>2.9999999999999997E-4</v>
      </c>
      <c r="P43" s="2687">
        <f t="shared" si="37"/>
        <v>2.5899999999999999E-2</v>
      </c>
      <c r="Q43" s="2687">
        <f t="shared" si="37"/>
        <v>-1.66E-2</v>
      </c>
      <c r="R43" s="2688"/>
      <c r="S43" s="2689"/>
      <c r="T43" s="2690"/>
      <c r="U43" s="2690"/>
      <c r="V43" s="2690"/>
      <c r="X43" s="2690"/>
      <c r="Y43" s="2690"/>
      <c r="Z43" s="2690"/>
    </row>
    <row r="44" spans="1:26">
      <c r="A44" s="2677" t="s">
        <v>2604</v>
      </c>
      <c r="B44" s="2691">
        <f t="shared" ref="B44:C46" si="53">B43/(1+N43)</f>
        <v>210.36075887152265</v>
      </c>
      <c r="C44" s="2691">
        <f t="shared" si="53"/>
        <v>187.94361691492554</v>
      </c>
      <c r="D44" s="2691">
        <f t="shared" si="35"/>
        <v>187.94361691492554</v>
      </c>
      <c r="E44" s="2691">
        <f t="shared" ref="E44:F46" si="54">E43/(1+P43)</f>
        <v>281.70386977288234</v>
      </c>
      <c r="F44" s="2691">
        <f t="shared" si="54"/>
        <v>168.80211511083994</v>
      </c>
      <c r="G44" s="3506">
        <v>2008</v>
      </c>
      <c r="H44" s="2702">
        <v>3</v>
      </c>
      <c r="I44" s="2702">
        <v>1.96</v>
      </c>
      <c r="J44" s="2702">
        <v>2.36</v>
      </c>
      <c r="K44" s="2702">
        <v>1.82</v>
      </c>
      <c r="L44" s="2703">
        <v>2.2200000000000002</v>
      </c>
      <c r="N44" s="2686">
        <f t="shared" si="37"/>
        <v>1.9599999999999999E-2</v>
      </c>
      <c r="O44" s="2687">
        <f t="shared" si="37"/>
        <v>2.3599999999999999E-2</v>
      </c>
      <c r="P44" s="2687">
        <f t="shared" si="37"/>
        <v>1.8200000000000001E-2</v>
      </c>
      <c r="Q44" s="2687">
        <f t="shared" si="37"/>
        <v>2.2200000000000001E-2</v>
      </c>
      <c r="R44" s="2688"/>
      <c r="S44" s="2686"/>
      <c r="T44" s="2687"/>
      <c r="U44" s="2687"/>
      <c r="V44" s="2687"/>
    </row>
    <row r="45" spans="1:26">
      <c r="A45" s="2677" t="s">
        <v>2605</v>
      </c>
      <c r="B45" s="2691">
        <f t="shared" si="53"/>
        <v>206.31694671589116</v>
      </c>
      <c r="C45" s="2691">
        <f t="shared" si="53"/>
        <v>183.61041121036101</v>
      </c>
      <c r="D45" s="2691">
        <f t="shared" si="35"/>
        <v>183.61041121036101</v>
      </c>
      <c r="E45" s="2691">
        <f t="shared" si="54"/>
        <v>276.66850301795557</v>
      </c>
      <c r="F45" s="2691">
        <f t="shared" si="54"/>
        <v>165.1360938278614</v>
      </c>
      <c r="G45" s="3506">
        <v>2008</v>
      </c>
      <c r="H45" s="2682">
        <v>2</v>
      </c>
      <c r="I45" s="2682">
        <v>4.93</v>
      </c>
      <c r="J45" s="2682">
        <v>7.38</v>
      </c>
      <c r="K45" s="2682">
        <v>3.98</v>
      </c>
      <c r="L45" s="2693">
        <v>6.86</v>
      </c>
      <c r="N45" s="2686">
        <f t="shared" si="37"/>
        <v>4.9299999999999997E-2</v>
      </c>
      <c r="O45" s="2687">
        <f t="shared" si="37"/>
        <v>7.3800000000000004E-2</v>
      </c>
      <c r="P45" s="2687">
        <f t="shared" si="37"/>
        <v>3.9800000000000002E-2</v>
      </c>
      <c r="Q45" s="2687">
        <f t="shared" si="37"/>
        <v>6.8600000000000008E-2</v>
      </c>
      <c r="R45" s="2688"/>
      <c r="S45" s="2686"/>
      <c r="T45" s="2687"/>
      <c r="U45" s="2687"/>
      <c r="V45" s="2687"/>
    </row>
    <row r="46" spans="1:26" s="2727" customFormat="1" ht="13.5" thickBot="1">
      <c r="A46" s="2677" t="s">
        <v>2606</v>
      </c>
      <c r="B46" s="2724">
        <f t="shared" si="53"/>
        <v>196.62341248059772</v>
      </c>
      <c r="C46" s="2724">
        <f t="shared" si="53"/>
        <v>170.99125648199012</v>
      </c>
      <c r="D46" s="2724">
        <f t="shared" si="35"/>
        <v>170.99125648199012</v>
      </c>
      <c r="E46" s="2724">
        <f t="shared" si="54"/>
        <v>266.07857570490052</v>
      </c>
      <c r="F46" s="2724">
        <f t="shared" si="54"/>
        <v>154.53499328828505</v>
      </c>
      <c r="G46" s="3507">
        <v>2008</v>
      </c>
      <c r="H46" s="2725">
        <v>1</v>
      </c>
      <c r="I46" s="2725">
        <v>4.1399999999999997</v>
      </c>
      <c r="J46" s="2725">
        <v>3.45</v>
      </c>
      <c r="K46" s="2725">
        <v>4.95</v>
      </c>
      <c r="L46" s="2726">
        <v>4.82</v>
      </c>
      <c r="N46" s="2728">
        <f t="shared" si="37"/>
        <v>4.1399999999999999E-2</v>
      </c>
      <c r="O46" s="2729">
        <f t="shared" si="37"/>
        <v>3.4500000000000003E-2</v>
      </c>
      <c r="P46" s="2729">
        <f t="shared" si="37"/>
        <v>4.9500000000000002E-2</v>
      </c>
      <c r="Q46" s="2729">
        <f t="shared" si="37"/>
        <v>4.82E-2</v>
      </c>
      <c r="R46" s="2730"/>
      <c r="S46" s="2728">
        <f>B46/B47-1</f>
        <v>4.5869215322328349E-2</v>
      </c>
      <c r="T46" s="2729">
        <f>C46/C47-1</f>
        <v>3.6310645345394743E-2</v>
      </c>
      <c r="U46" s="2729">
        <f>E46/E47-1</f>
        <v>4.7553447657088688E-2</v>
      </c>
      <c r="V46" s="2729">
        <f>F46/F47-1</f>
        <v>4.4155360055980086E-2</v>
      </c>
      <c r="X46" s="2731"/>
      <c r="Y46" s="2731"/>
      <c r="Z46" s="2731"/>
    </row>
    <row r="47" spans="1:26" ht="13.5" thickBot="1">
      <c r="A47" s="2677" t="s">
        <v>2607</v>
      </c>
      <c r="B47" s="2683">
        <v>188</v>
      </c>
      <c r="C47" s="2683">
        <v>165</v>
      </c>
      <c r="D47" s="2683">
        <f t="shared" si="35"/>
        <v>165</v>
      </c>
      <c r="E47" s="2683">
        <v>254</v>
      </c>
      <c r="F47" s="2684">
        <v>148</v>
      </c>
      <c r="G47" s="3505">
        <v>2007</v>
      </c>
      <c r="H47" s="2732">
        <v>4</v>
      </c>
      <c r="I47" s="2732">
        <v>5.51</v>
      </c>
      <c r="J47" s="2732">
        <v>4.8899999999999997</v>
      </c>
      <c r="K47" s="2732">
        <v>6.43</v>
      </c>
      <c r="L47" s="2733">
        <v>5.36</v>
      </c>
      <c r="N47" s="2734">
        <f t="shared" ref="N47:O50" si="55">B47/B48-1</f>
        <v>4.1339718365245526E-2</v>
      </c>
      <c r="O47" s="2735">
        <f t="shared" si="55"/>
        <v>4.0324492593776018E-2</v>
      </c>
      <c r="P47" s="2735">
        <f t="shared" ref="P47:Q50" si="56">E47/E48-1</f>
        <v>6.1625555347990968E-2</v>
      </c>
      <c r="Q47" s="2735">
        <f t="shared" si="56"/>
        <v>4.6757569250590603E-2</v>
      </c>
      <c r="R47" s="2688"/>
      <c r="S47" s="2689"/>
      <c r="T47" s="2690"/>
      <c r="U47" s="2690"/>
      <c r="V47" s="2690"/>
      <c r="X47" s="2690"/>
      <c r="Y47" s="2690"/>
      <c r="Z47" s="2690"/>
    </row>
    <row r="48" spans="1:26">
      <c r="A48" s="2677" t="s">
        <v>2608</v>
      </c>
      <c r="B48" s="2691">
        <f t="shared" ref="B48:C50" si="57">B49+(B$47-B$51)*I48/SUM(I$47:I$50)</f>
        <v>180.5366651097618</v>
      </c>
      <c r="C48" s="2691">
        <f t="shared" si="57"/>
        <v>158.60435967302453</v>
      </c>
      <c r="D48" s="2691">
        <f t="shared" si="35"/>
        <v>158.60435967302453</v>
      </c>
      <c r="E48" s="2691">
        <f t="shared" ref="E48:F50" si="58">E49+(E$47-E$51)*K48/SUM(K$47:K$50)</f>
        <v>239.25573260785075</v>
      </c>
      <c r="F48" s="2691">
        <f t="shared" si="58"/>
        <v>141.38899430740037</v>
      </c>
      <c r="G48" s="3506">
        <v>2007</v>
      </c>
      <c r="H48" s="2702">
        <v>3</v>
      </c>
      <c r="I48" s="2702">
        <v>8.65</v>
      </c>
      <c r="J48" s="2702">
        <v>8.06</v>
      </c>
      <c r="K48" s="2702">
        <v>9.94</v>
      </c>
      <c r="L48" s="2703">
        <v>5.8</v>
      </c>
      <c r="N48" s="2734">
        <f t="shared" si="55"/>
        <v>6.940217571740015E-2</v>
      </c>
      <c r="O48" s="2735">
        <f t="shared" si="55"/>
        <v>7.1197482471153428E-2</v>
      </c>
      <c r="P48" s="2735">
        <f t="shared" si="56"/>
        <v>0.10529679922579582</v>
      </c>
      <c r="Q48" s="2735">
        <f t="shared" si="56"/>
        <v>5.3292245059512133E-2</v>
      </c>
      <c r="R48" s="2688"/>
      <c r="S48" s="2686"/>
      <c r="T48" s="2687"/>
      <c r="U48" s="2687"/>
      <c r="V48" s="2687"/>
      <c r="X48" s="2736"/>
      <c r="Y48" s="2736"/>
      <c r="Z48" s="2736"/>
    </row>
    <row r="49" spans="1:26">
      <c r="A49" s="2677" t="s">
        <v>2609</v>
      </c>
      <c r="B49" s="2691">
        <f t="shared" si="57"/>
        <v>168.82017748715555</v>
      </c>
      <c r="C49" s="2691">
        <f t="shared" si="57"/>
        <v>148.06267029972753</v>
      </c>
      <c r="D49" s="2691">
        <f t="shared" si="35"/>
        <v>148.06267029972753</v>
      </c>
      <c r="E49" s="2691">
        <f t="shared" si="58"/>
        <v>216.46288379323747</v>
      </c>
      <c r="F49" s="2691">
        <f t="shared" si="58"/>
        <v>134.23529411764704</v>
      </c>
      <c r="G49" s="3506">
        <v>2007</v>
      </c>
      <c r="H49" s="2682">
        <v>2</v>
      </c>
      <c r="I49" s="2682">
        <v>3.67</v>
      </c>
      <c r="J49" s="2682">
        <v>2.3199999999999998</v>
      </c>
      <c r="K49" s="2682">
        <v>5.0199999999999996</v>
      </c>
      <c r="L49" s="2693">
        <v>6.71</v>
      </c>
      <c r="N49" s="2734">
        <f t="shared" si="55"/>
        <v>3.0339138143848032E-2</v>
      </c>
      <c r="O49" s="2735">
        <f t="shared" si="55"/>
        <v>2.0922341588790472E-2</v>
      </c>
      <c r="P49" s="2735">
        <f t="shared" si="56"/>
        <v>5.6164796592717003E-2</v>
      </c>
      <c r="Q49" s="2735">
        <f t="shared" si="56"/>
        <v>6.5704536723887319E-2</v>
      </c>
      <c r="R49" s="2688"/>
      <c r="S49" s="2686"/>
      <c r="T49" s="2687"/>
      <c r="U49" s="2687"/>
      <c r="V49" s="2687"/>
      <c r="X49" s="2736"/>
      <c r="Y49" s="2736"/>
      <c r="Z49" s="2736"/>
    </row>
    <row r="50" spans="1:26">
      <c r="A50" s="2677" t="s">
        <v>2610</v>
      </c>
      <c r="B50" s="2691">
        <f t="shared" si="57"/>
        <v>163.84913591779542</v>
      </c>
      <c r="C50" s="2691">
        <f t="shared" si="57"/>
        <v>145.0283378746594</v>
      </c>
      <c r="D50" s="2691">
        <f t="shared" si="35"/>
        <v>145.0283378746594</v>
      </c>
      <c r="E50" s="2691">
        <f t="shared" si="58"/>
        <v>204.95180722891567</v>
      </c>
      <c r="F50" s="2691">
        <f t="shared" si="58"/>
        <v>125.95920303605313</v>
      </c>
      <c r="G50" s="3507">
        <v>2007</v>
      </c>
      <c r="H50" s="2681">
        <v>1</v>
      </c>
      <c r="I50" s="2681">
        <v>3.58</v>
      </c>
      <c r="J50" s="2681">
        <v>3.08</v>
      </c>
      <c r="K50" s="2681">
        <v>4.34</v>
      </c>
      <c r="L50" s="2692">
        <v>3.21</v>
      </c>
      <c r="N50" s="2737">
        <f t="shared" si="55"/>
        <v>3.0497710174814063E-2</v>
      </c>
      <c r="O50" s="2738">
        <f t="shared" si="55"/>
        <v>2.8569772160704998E-2</v>
      </c>
      <c r="P50" s="2738">
        <f t="shared" si="56"/>
        <v>5.1034908866234296E-2</v>
      </c>
      <c r="Q50" s="2738">
        <f t="shared" si="56"/>
        <v>3.245248390207478E-2</v>
      </c>
      <c r="R50" s="2688"/>
      <c r="S50" s="2694">
        <f>B50/B51-1</f>
        <v>3.0497710174814063E-2</v>
      </c>
      <c r="T50" s="2695">
        <f>C50/C51-1</f>
        <v>2.8569772160704998E-2</v>
      </c>
      <c r="U50" s="2695">
        <f>E50/E51-1</f>
        <v>5.1034908866234296E-2</v>
      </c>
      <c r="V50" s="2695">
        <f>F50/F51-1</f>
        <v>3.245248390207478E-2</v>
      </c>
      <c r="X50" s="2736"/>
      <c r="Y50" s="2736"/>
      <c r="Z50" s="2736"/>
    </row>
    <row r="51" spans="1:26" ht="13.5" thickBot="1">
      <c r="A51" s="2677" t="s">
        <v>2611</v>
      </c>
      <c r="B51" s="2705">
        <v>159</v>
      </c>
      <c r="C51" s="2705">
        <v>141</v>
      </c>
      <c r="D51" s="2705">
        <f t="shared" si="35"/>
        <v>141</v>
      </c>
      <c r="E51" s="2705">
        <v>195</v>
      </c>
      <c r="F51" s="2706">
        <v>122</v>
      </c>
      <c r="G51" s="3505">
        <v>2006</v>
      </c>
      <c r="H51" s="2697">
        <v>4</v>
      </c>
      <c r="I51" s="2697">
        <v>3.79</v>
      </c>
      <c r="J51" s="2697">
        <v>2.21</v>
      </c>
      <c r="K51" s="2697">
        <v>5.65</v>
      </c>
      <c r="L51" s="2698">
        <v>5.41</v>
      </c>
      <c r="N51" s="2734">
        <f t="shared" ref="N51:O54" si="59">I51/SUM(I$51:I$54)*(B$51/B$55-1)</f>
        <v>7.245466462748526E-2</v>
      </c>
      <c r="O51" s="2735">
        <f t="shared" si="59"/>
        <v>2.3237230038062766E-2</v>
      </c>
      <c r="P51" s="2735">
        <f t="shared" ref="P51:Q54" si="60">K51/SUM(K$51:K$54)*(E$51/E$55-1)</f>
        <v>0.16146893866323722</v>
      </c>
      <c r="Q51" s="2735">
        <f t="shared" si="60"/>
        <v>5.0755230321793784E-2</v>
      </c>
      <c r="R51" s="2688"/>
      <c r="S51" s="2689"/>
      <c r="T51" s="2690"/>
      <c r="U51" s="2690"/>
      <c r="V51" s="2690"/>
      <c r="X51" s="2736"/>
      <c r="Y51" s="2736"/>
      <c r="Z51" s="2736"/>
    </row>
    <row r="52" spans="1:26">
      <c r="A52" s="2677" t="s">
        <v>2612</v>
      </c>
      <c r="B52" s="2691">
        <f t="shared" ref="B52:C54" si="61">B53+(B$51-B$55)*I52/SUM(I$51:I$54)</f>
        <v>149.00125628140702</v>
      </c>
      <c r="C52" s="2691">
        <f t="shared" si="61"/>
        <v>137.95592286501378</v>
      </c>
      <c r="D52" s="2691">
        <f t="shared" si="35"/>
        <v>137.95592286501378</v>
      </c>
      <c r="E52" s="2691">
        <f t="shared" ref="E52:F54" si="62">E53+(E$51-E$55)*K52/SUM(K$51:K$54)</f>
        <v>169.97231450719823</v>
      </c>
      <c r="F52" s="2691">
        <f t="shared" si="62"/>
        <v>116.21390374331551</v>
      </c>
      <c r="G52" s="3506">
        <v>2006</v>
      </c>
      <c r="H52" s="2702">
        <v>3</v>
      </c>
      <c r="I52" s="2702">
        <v>0.92</v>
      </c>
      <c r="J52" s="2702">
        <v>1.08</v>
      </c>
      <c r="K52" s="2702">
        <v>0.73</v>
      </c>
      <c r="L52" s="2703">
        <v>1.08</v>
      </c>
      <c r="N52" s="2734">
        <f t="shared" si="59"/>
        <v>1.7587939698492462E-2</v>
      </c>
      <c r="O52" s="2735">
        <f t="shared" si="59"/>
        <v>1.1355750425840628E-2</v>
      </c>
      <c r="P52" s="2735">
        <f t="shared" si="60"/>
        <v>2.0862358446754544E-2</v>
      </c>
      <c r="Q52" s="2735">
        <f t="shared" si="60"/>
        <v>1.0132282578103011E-2</v>
      </c>
      <c r="R52" s="2688"/>
      <c r="S52" s="2686"/>
      <c r="T52" s="2687"/>
      <c r="U52" s="2687"/>
      <c r="V52" s="2687"/>
      <c r="X52" s="2736"/>
      <c r="Y52" s="2736"/>
      <c r="Z52" s="2736"/>
    </row>
    <row r="53" spans="1:26">
      <c r="A53" s="2677" t="s">
        <v>2613</v>
      </c>
      <c r="B53" s="2691">
        <f t="shared" si="61"/>
        <v>146.57412060301507</v>
      </c>
      <c r="C53" s="2691">
        <f t="shared" si="61"/>
        <v>136.46831955922866</v>
      </c>
      <c r="D53" s="2691">
        <f t="shared" si="35"/>
        <v>136.46831955922866</v>
      </c>
      <c r="E53" s="2691">
        <f t="shared" si="62"/>
        <v>166.73864894795128</v>
      </c>
      <c r="F53" s="2691">
        <f t="shared" si="62"/>
        <v>115.05882352941177</v>
      </c>
      <c r="G53" s="3506">
        <v>2006</v>
      </c>
      <c r="H53" s="2682">
        <v>2</v>
      </c>
      <c r="I53" s="2682">
        <v>0.96</v>
      </c>
      <c r="J53" s="2682">
        <v>0.25</v>
      </c>
      <c r="K53" s="2682">
        <v>1.9</v>
      </c>
      <c r="L53" s="2693">
        <v>0.95</v>
      </c>
      <c r="N53" s="2734">
        <f t="shared" si="59"/>
        <v>1.8352632728861701E-2</v>
      </c>
      <c r="O53" s="2735">
        <f t="shared" si="59"/>
        <v>2.6286459319075526E-3</v>
      </c>
      <c r="P53" s="2735">
        <f t="shared" si="60"/>
        <v>5.4299289107991269E-2</v>
      </c>
      <c r="Q53" s="2735">
        <f t="shared" si="60"/>
        <v>8.9126559714794995E-3</v>
      </c>
      <c r="R53" s="2688"/>
      <c r="S53" s="2686"/>
      <c r="T53" s="2687"/>
      <c r="U53" s="2687"/>
      <c r="V53" s="2687"/>
      <c r="X53" s="2736"/>
      <c r="Y53" s="2736"/>
      <c r="Z53" s="2736"/>
    </row>
    <row r="54" spans="1:26">
      <c r="A54" s="2677" t="s">
        <v>2614</v>
      </c>
      <c r="B54" s="2691">
        <f t="shared" si="61"/>
        <v>144.04145728643215</v>
      </c>
      <c r="C54" s="2691">
        <f t="shared" si="61"/>
        <v>136.12396694214877</v>
      </c>
      <c r="D54" s="2691">
        <f t="shared" si="35"/>
        <v>136.12396694214877</v>
      </c>
      <c r="E54" s="2691">
        <f t="shared" si="62"/>
        <v>158.32225913621264</v>
      </c>
      <c r="F54" s="2691">
        <f t="shared" si="62"/>
        <v>114.04278074866311</v>
      </c>
      <c r="G54" s="3507">
        <v>2006</v>
      </c>
      <c r="H54" s="2681">
        <v>1</v>
      </c>
      <c r="I54" s="2681">
        <v>2.29</v>
      </c>
      <c r="J54" s="2681">
        <v>3.72</v>
      </c>
      <c r="K54" s="2681">
        <v>0.75</v>
      </c>
      <c r="L54" s="2692">
        <v>0.04</v>
      </c>
      <c r="N54" s="2737">
        <f t="shared" si="59"/>
        <v>4.3778675988638847E-2</v>
      </c>
      <c r="O54" s="2738">
        <f t="shared" si="59"/>
        <v>3.9114251466784385E-2</v>
      </c>
      <c r="P54" s="2738">
        <f t="shared" si="60"/>
        <v>2.1433929911049188E-2</v>
      </c>
      <c r="Q54" s="2738">
        <f t="shared" si="60"/>
        <v>3.7526972511492629E-4</v>
      </c>
      <c r="R54" s="2688"/>
      <c r="S54" s="2694">
        <f>B54/B55-1</f>
        <v>4.3778675988638716E-2</v>
      </c>
      <c r="T54" s="2695">
        <f>C54/C55-1</f>
        <v>3.91142514667846E-2</v>
      </c>
      <c r="U54" s="2695">
        <f>E54/E55-1</f>
        <v>2.143392991104931E-2</v>
      </c>
      <c r="V54" s="2695">
        <f>F54/F55-1</f>
        <v>3.7526972511492396E-4</v>
      </c>
      <c r="X54" s="2736"/>
      <c r="Y54" s="2736"/>
      <c r="Z54" s="2736"/>
    </row>
    <row r="55" spans="1:26" ht="13.5" thickBot="1">
      <c r="A55" s="2677" t="s">
        <v>2615</v>
      </c>
      <c r="B55" s="2705">
        <v>138</v>
      </c>
      <c r="C55" s="2705">
        <v>131</v>
      </c>
      <c r="D55" s="2705">
        <f t="shared" si="35"/>
        <v>131</v>
      </c>
      <c r="E55" s="2705">
        <v>155</v>
      </c>
      <c r="F55" s="2706">
        <v>114</v>
      </c>
      <c r="G55" s="3505">
        <v>2005</v>
      </c>
      <c r="H55" s="2697">
        <v>4</v>
      </c>
      <c r="I55" s="2697">
        <v>3.29</v>
      </c>
      <c r="J55" s="2697">
        <v>1.44</v>
      </c>
      <c r="K55" s="2697">
        <v>0.66</v>
      </c>
      <c r="L55" s="2698">
        <v>7.78</v>
      </c>
      <c r="N55" s="2734">
        <f t="shared" ref="N55:O58" si="63">I55/SUM(I$55:I$58)*(B$55/B$59-1)</f>
        <v>9.9404603216919935E-2</v>
      </c>
      <c r="O55" s="2735">
        <f t="shared" si="63"/>
        <v>4.7636550760861554E-2</v>
      </c>
      <c r="P55" s="2735">
        <f t="shared" ref="P55:Q58" si="64">K55/SUM(K$55:K$58)*(E$55/E$59-1)</f>
        <v>8.3756345177664976E-2</v>
      </c>
      <c r="Q55" s="2735">
        <f t="shared" si="64"/>
        <v>5.2148766661559584E-2</v>
      </c>
      <c r="R55" s="2688"/>
      <c r="S55" s="2689"/>
      <c r="T55" s="2690"/>
      <c r="U55" s="2690"/>
      <c r="V55" s="2690"/>
      <c r="X55" s="2736"/>
      <c r="Y55" s="2736"/>
      <c r="Z55" s="2736"/>
    </row>
    <row r="56" spans="1:26">
      <c r="A56" s="2677" t="s">
        <v>2616</v>
      </c>
      <c r="B56" s="2691">
        <f t="shared" ref="B56:C58" si="65">B57+(B$55-B$59)*I56/SUM(I$55:I$58)</f>
        <v>125.9720430107527</v>
      </c>
      <c r="C56" s="2691">
        <f t="shared" si="65"/>
        <v>125.1883408071749</v>
      </c>
      <c r="D56" s="2691">
        <f t="shared" si="35"/>
        <v>125.1883408071749</v>
      </c>
      <c r="E56" s="2691">
        <f t="shared" ref="E56:F58" si="66">E57+(E$55-E$59)*K56/SUM(K$55:K$58)</f>
        <v>144.61421319796952</v>
      </c>
      <c r="F56" s="2691">
        <f t="shared" si="66"/>
        <v>108.42008196721311</v>
      </c>
      <c r="G56" s="3506">
        <v>2005</v>
      </c>
      <c r="H56" s="2702">
        <v>3</v>
      </c>
      <c r="I56" s="2702">
        <v>0.46</v>
      </c>
      <c r="J56" s="2702">
        <v>0.32</v>
      </c>
      <c r="K56" s="2702">
        <v>0.42</v>
      </c>
      <c r="L56" s="2703">
        <v>0.64</v>
      </c>
      <c r="N56" s="2734">
        <f t="shared" si="63"/>
        <v>1.3898515951301874E-2</v>
      </c>
      <c r="O56" s="2735">
        <f t="shared" si="63"/>
        <v>1.0585900169080346E-2</v>
      </c>
      <c r="P56" s="2735">
        <f t="shared" si="64"/>
        <v>5.3299492385786795E-2</v>
      </c>
      <c r="Q56" s="2735">
        <f t="shared" si="64"/>
        <v>4.2898728359123568E-3</v>
      </c>
      <c r="R56" s="2688"/>
      <c r="S56" s="2686"/>
      <c r="T56" s="2687"/>
      <c r="U56" s="2687"/>
      <c r="V56" s="2687"/>
      <c r="X56" s="2736"/>
      <c r="Y56" s="2736"/>
      <c r="Z56" s="2736"/>
    </row>
    <row r="57" spans="1:26">
      <c r="A57" s="2677" t="s">
        <v>2617</v>
      </c>
      <c r="B57" s="2691">
        <f t="shared" si="65"/>
        <v>124.29032258064517</v>
      </c>
      <c r="C57" s="2691">
        <f t="shared" si="65"/>
        <v>123.8968609865471</v>
      </c>
      <c r="D57" s="2691">
        <f t="shared" si="35"/>
        <v>123.8968609865471</v>
      </c>
      <c r="E57" s="2691">
        <f t="shared" si="66"/>
        <v>138.00507614213197</v>
      </c>
      <c r="F57" s="2691">
        <f t="shared" si="66"/>
        <v>107.96106557377048</v>
      </c>
      <c r="G57" s="3506">
        <v>2005</v>
      </c>
      <c r="H57" s="2682">
        <v>2</v>
      </c>
      <c r="I57" s="2682">
        <v>0.47</v>
      </c>
      <c r="J57" s="2682">
        <v>0.1</v>
      </c>
      <c r="K57" s="2682">
        <v>0.52</v>
      </c>
      <c r="L57" s="2693">
        <v>0.79</v>
      </c>
      <c r="N57" s="2734">
        <f t="shared" si="63"/>
        <v>1.420065760241713E-2</v>
      </c>
      <c r="O57" s="2735">
        <f t="shared" si="63"/>
        <v>3.3080938028376083E-3</v>
      </c>
      <c r="P57" s="2735">
        <f t="shared" si="64"/>
        <v>6.598984771573603E-2</v>
      </c>
      <c r="Q57" s="2735">
        <f t="shared" si="64"/>
        <v>5.2953117818293153E-3</v>
      </c>
      <c r="R57" s="2688"/>
      <c r="S57" s="2686"/>
      <c r="T57" s="2687"/>
      <c r="U57" s="2687"/>
      <c r="V57" s="2687"/>
      <c r="X57" s="2736"/>
      <c r="Y57" s="2736"/>
      <c r="Z57" s="2736"/>
    </row>
    <row r="58" spans="1:26">
      <c r="A58" s="2677" t="s">
        <v>2618</v>
      </c>
      <c r="B58" s="2691">
        <f t="shared" si="65"/>
        <v>122.57204301075269</v>
      </c>
      <c r="C58" s="2691">
        <f t="shared" si="65"/>
        <v>123.4932735426009</v>
      </c>
      <c r="D58" s="2691">
        <f t="shared" si="35"/>
        <v>123.4932735426009</v>
      </c>
      <c r="E58" s="2691">
        <f t="shared" si="66"/>
        <v>129.82233502538071</v>
      </c>
      <c r="F58" s="2691">
        <f t="shared" si="66"/>
        <v>107.39446721311475</v>
      </c>
      <c r="G58" s="3507">
        <v>2005</v>
      </c>
      <c r="H58" s="2681">
        <v>1</v>
      </c>
      <c r="I58" s="2681">
        <v>0.43</v>
      </c>
      <c r="J58" s="2681">
        <v>0.37</v>
      </c>
      <c r="K58" s="2681">
        <v>0.37</v>
      </c>
      <c r="L58" s="2692">
        <v>0.55000000000000004</v>
      </c>
      <c r="N58" s="2737">
        <f t="shared" si="63"/>
        <v>1.2992090997956099E-2</v>
      </c>
      <c r="O58" s="2738">
        <f t="shared" si="63"/>
        <v>1.2239947070499151E-2</v>
      </c>
      <c r="P58" s="2738">
        <f t="shared" si="64"/>
        <v>4.6954314720812178E-2</v>
      </c>
      <c r="Q58" s="2738">
        <f t="shared" si="64"/>
        <v>3.6866094683621815E-3</v>
      </c>
      <c r="R58" s="2688"/>
      <c r="S58" s="2694">
        <f>B58/B59-1</f>
        <v>1.2992090997956174E-2</v>
      </c>
      <c r="T58" s="2695">
        <f>C58/C59-1</f>
        <v>1.2239947070499246E-2</v>
      </c>
      <c r="U58" s="2695">
        <f>E58/E59-1</f>
        <v>4.695431472081224E-2</v>
      </c>
      <c r="V58" s="2695">
        <f>F58/F59-1</f>
        <v>3.6866094683620787E-3</v>
      </c>
      <c r="X58" s="2736"/>
      <c r="Y58" s="2736"/>
      <c r="Z58" s="2736"/>
    </row>
    <row r="59" spans="1:26" ht="13.5" thickBot="1">
      <c r="A59" s="2677" t="s">
        <v>2619</v>
      </c>
      <c r="B59" s="2721">
        <v>121</v>
      </c>
      <c r="C59" s="2721">
        <v>122</v>
      </c>
      <c r="D59" s="2721">
        <f t="shared" si="35"/>
        <v>122</v>
      </c>
      <c r="E59" s="2721">
        <v>124</v>
      </c>
      <c r="F59" s="2722">
        <v>107</v>
      </c>
      <c r="G59" s="3505">
        <v>2004</v>
      </c>
      <c r="H59" s="2697">
        <v>4</v>
      </c>
      <c r="I59" s="2697">
        <v>0.33</v>
      </c>
      <c r="J59" s="2697">
        <v>0.5</v>
      </c>
      <c r="K59" s="2697">
        <v>0.5</v>
      </c>
      <c r="L59" s="2698">
        <v>0</v>
      </c>
      <c r="N59" s="2734">
        <f t="shared" ref="N59:O62" si="67">I59/SUM(I$59:I$62)*(B$59/B$63-1)</f>
        <v>1.3391770148526898E-2</v>
      </c>
      <c r="O59" s="2735">
        <f t="shared" si="67"/>
        <v>1.063264221158958E-2</v>
      </c>
      <c r="P59" s="2735">
        <f t="shared" ref="P59:Q62" si="68">K59/SUM(K$59:K$62)*(E$59/E$63-1)</f>
        <v>2.2244466688911134E-2</v>
      </c>
      <c r="Q59" s="2735">
        <f t="shared" si="68"/>
        <v>0</v>
      </c>
      <c r="R59" s="2688"/>
      <c r="S59" s="2689"/>
      <c r="T59" s="2690"/>
      <c r="U59" s="2690"/>
      <c r="V59" s="2690"/>
      <c r="X59" s="2736"/>
      <c r="Y59" s="2736"/>
      <c r="Z59" s="2736"/>
    </row>
    <row r="60" spans="1:26">
      <c r="A60" s="2677" t="s">
        <v>2620</v>
      </c>
      <c r="B60" s="2691">
        <f t="shared" ref="B60:C62" si="69">B61+(B$59-B$63)*I60/SUM(I$59:I$62)</f>
        <v>119.51351351351352</v>
      </c>
      <c r="C60" s="2691">
        <f t="shared" si="69"/>
        <v>120.7878787878788</v>
      </c>
      <c r="D60" s="2691">
        <f t="shared" si="35"/>
        <v>120.7878787878788</v>
      </c>
      <c r="E60" s="2691">
        <f t="shared" ref="E60:F62" si="70">E61+(E$59-E$63)*K60/SUM(K$59:K$62)</f>
        <v>121.5975975975976</v>
      </c>
      <c r="F60" s="2691">
        <f t="shared" si="70"/>
        <v>107</v>
      </c>
      <c r="G60" s="3506">
        <v>2004</v>
      </c>
      <c r="H60" s="2702">
        <v>3</v>
      </c>
      <c r="I60" s="2702">
        <v>0.56000000000000005</v>
      </c>
      <c r="J60" s="2702">
        <v>0.8</v>
      </c>
      <c r="K60" s="2702">
        <v>0.83</v>
      </c>
      <c r="L60" s="2703">
        <v>0.06</v>
      </c>
      <c r="N60" s="2734">
        <f t="shared" si="67"/>
        <v>2.2725428130833527E-2</v>
      </c>
      <c r="O60" s="2735">
        <f t="shared" si="67"/>
        <v>1.7012227538543329E-2</v>
      </c>
      <c r="P60" s="2735">
        <f t="shared" si="68"/>
        <v>3.6925814703592477E-2</v>
      </c>
      <c r="Q60" s="2735">
        <f t="shared" si="68"/>
        <v>2.8846153846153744E-2</v>
      </c>
      <c r="R60" s="2688"/>
      <c r="S60" s="2686"/>
      <c r="T60" s="2687"/>
      <c r="U60" s="2687"/>
      <c r="V60" s="2687"/>
      <c r="X60" s="2736"/>
      <c r="Y60" s="2736"/>
      <c r="Z60" s="2736"/>
    </row>
    <row r="61" spans="1:26">
      <c r="A61" s="2677" t="s">
        <v>2621</v>
      </c>
      <c r="B61" s="2691">
        <f t="shared" si="69"/>
        <v>116.99099099099099</v>
      </c>
      <c r="C61" s="2691">
        <f t="shared" si="69"/>
        <v>118.84848484848486</v>
      </c>
      <c r="D61" s="2691">
        <f t="shared" si="35"/>
        <v>118.84848484848486</v>
      </c>
      <c r="E61" s="2691">
        <f t="shared" si="70"/>
        <v>117.60960960960961</v>
      </c>
      <c r="F61" s="2691">
        <f t="shared" si="70"/>
        <v>104</v>
      </c>
      <c r="G61" s="3506">
        <v>2004</v>
      </c>
      <c r="H61" s="2682">
        <v>2</v>
      </c>
      <c r="I61" s="2682">
        <v>1</v>
      </c>
      <c r="J61" s="2682">
        <v>1.5</v>
      </c>
      <c r="K61" s="2682">
        <v>1.5</v>
      </c>
      <c r="L61" s="2693">
        <v>0</v>
      </c>
      <c r="N61" s="2734">
        <f t="shared" si="67"/>
        <v>4.0581121662202721E-2</v>
      </c>
      <c r="O61" s="2735">
        <f t="shared" si="67"/>
        <v>3.1897926634768738E-2</v>
      </c>
      <c r="P61" s="2735">
        <f t="shared" si="68"/>
        <v>6.6733400066733395E-2</v>
      </c>
      <c r="Q61" s="2735">
        <f t="shared" si="68"/>
        <v>0</v>
      </c>
      <c r="R61" s="2688"/>
      <c r="S61" s="2686"/>
      <c r="T61" s="2687"/>
      <c r="U61" s="2687"/>
      <c r="V61" s="2687"/>
      <c r="X61" s="2736"/>
      <c r="Y61" s="2736"/>
      <c r="Z61" s="2736"/>
    </row>
    <row r="62" spans="1:26" s="2727" customFormat="1" ht="13.5" thickBot="1">
      <c r="A62" s="2677" t="s">
        <v>2622</v>
      </c>
      <c r="B62" s="2724">
        <f t="shared" si="69"/>
        <v>112.48648648648648</v>
      </c>
      <c r="C62" s="2724">
        <f t="shared" si="69"/>
        <v>115.21212121212122</v>
      </c>
      <c r="D62" s="2724">
        <f t="shared" si="35"/>
        <v>115.21212121212122</v>
      </c>
      <c r="E62" s="2724">
        <f t="shared" si="70"/>
        <v>110.4024024024024</v>
      </c>
      <c r="F62" s="2724">
        <f t="shared" si="70"/>
        <v>104</v>
      </c>
      <c r="G62" s="3507">
        <v>2004</v>
      </c>
      <c r="H62" s="2725">
        <v>1</v>
      </c>
      <c r="I62" s="2725">
        <v>0.33</v>
      </c>
      <c r="J62" s="2725">
        <v>0.5</v>
      </c>
      <c r="K62" s="2725">
        <v>0.5</v>
      </c>
      <c r="L62" s="2726">
        <v>0</v>
      </c>
      <c r="N62" s="2739">
        <f t="shared" si="67"/>
        <v>1.3391770148526898E-2</v>
      </c>
      <c r="O62" s="2740">
        <f t="shared" si="67"/>
        <v>1.063264221158958E-2</v>
      </c>
      <c r="P62" s="2740">
        <f t="shared" si="68"/>
        <v>2.2244466688911134E-2</v>
      </c>
      <c r="Q62" s="2740">
        <f t="shared" si="68"/>
        <v>0</v>
      </c>
      <c r="R62" s="2730"/>
      <c r="S62" s="2728">
        <f>B62/B63-1</f>
        <v>1.3391770148526883E-2</v>
      </c>
      <c r="T62" s="2729">
        <f>C62/C63-1</f>
        <v>1.063264221158966E-2</v>
      </c>
      <c r="U62" s="2729">
        <f>E62/E63-1</f>
        <v>2.2244466688911224E-2</v>
      </c>
      <c r="V62" s="2729">
        <f>F62/F63-1</f>
        <v>0</v>
      </c>
      <c r="X62" s="2741"/>
      <c r="Y62" s="2741"/>
      <c r="Z62" s="2741"/>
    </row>
    <row r="63" spans="1:26" ht="13.5" thickBot="1">
      <c r="A63" s="2677" t="s">
        <v>2623</v>
      </c>
      <c r="B63" s="2742">
        <v>111</v>
      </c>
      <c r="C63" s="2742">
        <v>114</v>
      </c>
      <c r="D63" s="2742">
        <f t="shared" si="35"/>
        <v>114</v>
      </c>
      <c r="E63" s="2742">
        <v>108</v>
      </c>
      <c r="F63" s="2743">
        <v>104</v>
      </c>
      <c r="G63" s="3505">
        <v>2003</v>
      </c>
      <c r="H63" s="2732">
        <v>4</v>
      </c>
      <c r="I63" s="2744"/>
      <c r="J63" s="2744"/>
      <c r="K63" s="2744"/>
      <c r="L63" s="2744"/>
      <c r="N63" s="2745"/>
      <c r="O63" s="2744"/>
      <c r="P63" s="2744"/>
      <c r="Q63" s="2744"/>
      <c r="S63" s="2745"/>
      <c r="T63" s="2744"/>
      <c r="U63" s="2744"/>
      <c r="V63" s="2744"/>
      <c r="X63" s="2736"/>
      <c r="Y63" s="2736"/>
      <c r="Z63" s="2736"/>
    </row>
    <row r="64" spans="1:26">
      <c r="A64" s="2677" t="s">
        <v>2624</v>
      </c>
      <c r="B64" s="2746">
        <f t="shared" ref="B64:C66" si="71">B65+(B$63-B$67)/4</f>
        <v>109.75</v>
      </c>
      <c r="C64" s="2746">
        <f t="shared" si="71"/>
        <v>112.25</v>
      </c>
      <c r="D64" s="2746">
        <f t="shared" si="35"/>
        <v>112.25</v>
      </c>
      <c r="E64" s="2746">
        <f t="shared" ref="E64:F66" si="72">E65+(E$63-E$67)/4</f>
        <v>107.25</v>
      </c>
      <c r="F64" s="2746">
        <f t="shared" si="72"/>
        <v>103.5</v>
      </c>
      <c r="G64" s="3506">
        <v>2003</v>
      </c>
      <c r="H64" s="2702">
        <v>3</v>
      </c>
      <c r="I64" s="2744"/>
      <c r="J64" s="2744"/>
      <c r="K64" s="2744"/>
      <c r="L64" s="2744"/>
      <c r="X64" s="2736"/>
      <c r="Y64" s="2736"/>
      <c r="Z64" s="2736"/>
    </row>
    <row r="65" spans="1:26">
      <c r="A65" s="2677" t="s">
        <v>2625</v>
      </c>
      <c r="B65" s="2746">
        <f t="shared" si="71"/>
        <v>108.5</v>
      </c>
      <c r="C65" s="2746">
        <f t="shared" si="71"/>
        <v>110.5</v>
      </c>
      <c r="D65" s="2746">
        <f t="shared" si="35"/>
        <v>110.5</v>
      </c>
      <c r="E65" s="2746">
        <f t="shared" si="72"/>
        <v>106.5</v>
      </c>
      <c r="F65" s="2746">
        <f t="shared" si="72"/>
        <v>103</v>
      </c>
      <c r="G65" s="3506">
        <v>2003</v>
      </c>
      <c r="H65" s="2682">
        <v>2</v>
      </c>
      <c r="I65" s="2744"/>
      <c r="J65" s="2744"/>
      <c r="K65" s="2744"/>
      <c r="L65" s="2744"/>
      <c r="X65" s="2736"/>
      <c r="Y65" s="2736"/>
      <c r="Z65" s="2736"/>
    </row>
    <row r="66" spans="1:26" ht="13.5" thickBot="1">
      <c r="A66" s="2677" t="s">
        <v>2626</v>
      </c>
      <c r="B66" s="2746">
        <f t="shared" si="71"/>
        <v>107.25</v>
      </c>
      <c r="C66" s="2746">
        <f t="shared" si="71"/>
        <v>108.75</v>
      </c>
      <c r="D66" s="2746">
        <f t="shared" si="35"/>
        <v>108.75</v>
      </c>
      <c r="E66" s="2746">
        <f t="shared" si="72"/>
        <v>105.75</v>
      </c>
      <c r="F66" s="2746">
        <f t="shared" si="72"/>
        <v>102.5</v>
      </c>
      <c r="G66" s="3507">
        <v>2003</v>
      </c>
      <c r="H66" s="2747">
        <v>1</v>
      </c>
      <c r="I66" s="2744"/>
      <c r="J66" s="2744"/>
      <c r="K66" s="2744"/>
      <c r="L66" s="2744"/>
      <c r="S66" s="2686"/>
      <c r="T66" s="2687"/>
      <c r="U66" s="2687"/>
      <c r="X66" s="2736"/>
      <c r="Y66" s="2736"/>
      <c r="Z66" s="2736"/>
    </row>
    <row r="67" spans="1:26" ht="13.5" thickBot="1">
      <c r="A67" s="2677" t="s">
        <v>2627</v>
      </c>
      <c r="B67" s="2748">
        <v>106</v>
      </c>
      <c r="C67" s="2748">
        <v>107</v>
      </c>
      <c r="D67" s="2748">
        <f t="shared" si="35"/>
        <v>107</v>
      </c>
      <c r="E67" s="2748">
        <v>105</v>
      </c>
      <c r="F67" s="2749">
        <v>102</v>
      </c>
      <c r="G67" s="3505">
        <v>2002</v>
      </c>
      <c r="H67" s="2697">
        <v>4</v>
      </c>
      <c r="I67" s="2744"/>
      <c r="J67" s="2744"/>
      <c r="K67" s="2744"/>
      <c r="L67" s="2744"/>
      <c r="N67" s="2745"/>
      <c r="O67" s="2744"/>
      <c r="P67" s="2744"/>
      <c r="Q67" s="2744"/>
      <c r="S67" s="2745"/>
      <c r="T67" s="2744"/>
      <c r="U67" s="2744"/>
      <c r="V67" s="2744"/>
      <c r="X67" s="2736"/>
      <c r="Y67" s="2736"/>
      <c r="Z67" s="2736"/>
    </row>
    <row r="68" spans="1:26">
      <c r="A68" s="2677" t="s">
        <v>2628</v>
      </c>
      <c r="B68" s="2746">
        <f t="shared" ref="B68:C70" si="73">B69+(B$67-B$71)/4</f>
        <v>105</v>
      </c>
      <c r="C68" s="2746">
        <f t="shared" si="73"/>
        <v>106</v>
      </c>
      <c r="D68" s="2746">
        <f t="shared" si="35"/>
        <v>106</v>
      </c>
      <c r="E68" s="2746">
        <f t="shared" ref="E68:F70" si="74">E69+(E$67-E$71)/4</f>
        <v>104.5</v>
      </c>
      <c r="F68" s="2746">
        <f t="shared" si="74"/>
        <v>101.5</v>
      </c>
      <c r="G68" s="3506">
        <v>2002</v>
      </c>
      <c r="H68" s="2702">
        <v>3</v>
      </c>
      <c r="I68" s="2744"/>
      <c r="J68" s="2744"/>
      <c r="K68" s="2744"/>
      <c r="L68" s="2744"/>
      <c r="X68" s="2736"/>
      <c r="Y68" s="2736"/>
      <c r="Z68" s="2736"/>
    </row>
    <row r="69" spans="1:26">
      <c r="A69" s="2677" t="s">
        <v>2629</v>
      </c>
      <c r="B69" s="2746">
        <f t="shared" si="73"/>
        <v>104</v>
      </c>
      <c r="C69" s="2746">
        <f t="shared" si="73"/>
        <v>105</v>
      </c>
      <c r="D69" s="2746">
        <f t="shared" si="35"/>
        <v>105</v>
      </c>
      <c r="E69" s="2746">
        <f t="shared" si="74"/>
        <v>104</v>
      </c>
      <c r="F69" s="2746">
        <f t="shared" si="74"/>
        <v>101</v>
      </c>
      <c r="G69" s="3506">
        <v>2002</v>
      </c>
      <c r="H69" s="2682">
        <v>2</v>
      </c>
      <c r="I69" s="2744"/>
      <c r="J69" s="2744"/>
      <c r="K69" s="2744"/>
      <c r="L69" s="2744"/>
      <c r="X69" s="2736"/>
      <c r="Y69" s="2736"/>
      <c r="Z69" s="2736"/>
    </row>
    <row r="70" spans="1:26" s="2713" customFormat="1" ht="13.5" thickBot="1">
      <c r="A70" s="2709" t="s">
        <v>2630</v>
      </c>
      <c r="B70" s="2750">
        <f t="shared" si="73"/>
        <v>103</v>
      </c>
      <c r="C70" s="2750">
        <f t="shared" si="73"/>
        <v>104</v>
      </c>
      <c r="D70" s="2750">
        <f t="shared" si="35"/>
        <v>104</v>
      </c>
      <c r="E70" s="2750">
        <f t="shared" si="74"/>
        <v>103.5</v>
      </c>
      <c r="F70" s="2750">
        <f t="shared" si="74"/>
        <v>100.5</v>
      </c>
      <c r="G70" s="3507">
        <v>2002</v>
      </c>
      <c r="H70" s="2751">
        <v>1</v>
      </c>
      <c r="I70" s="2752"/>
      <c r="J70" s="2752"/>
      <c r="K70" s="2752"/>
      <c r="L70" s="2752"/>
      <c r="N70" s="2753"/>
      <c r="S70" s="2753"/>
      <c r="X70" s="2754"/>
      <c r="Y70" s="2754"/>
      <c r="Z70" s="2754"/>
    </row>
    <row r="71" spans="1:26" ht="13.5" thickBot="1">
      <c r="B71" s="2755">
        <v>102</v>
      </c>
      <c r="C71" s="2756">
        <v>103</v>
      </c>
      <c r="D71" s="2756">
        <f t="shared" si="35"/>
        <v>103</v>
      </c>
      <c r="E71" s="2756">
        <v>103</v>
      </c>
      <c r="F71" s="2757">
        <v>100</v>
      </c>
      <c r="I71" s="2744"/>
      <c r="J71" s="2744"/>
      <c r="K71" s="2744"/>
      <c r="L71" s="2744"/>
      <c r="N71" s="2745"/>
      <c r="O71" s="2744"/>
      <c r="P71" s="2744"/>
      <c r="Q71" s="2744"/>
      <c r="S71" s="2745"/>
      <c r="T71" s="2744"/>
      <c r="U71" s="2744"/>
      <c r="V71" s="2744"/>
      <c r="X71" s="2690"/>
      <c r="Y71" s="2690"/>
      <c r="Z71" s="2690"/>
    </row>
    <row r="73" spans="1:26" s="2759" customFormat="1">
      <c r="A73" s="2758" t="s">
        <v>2631</v>
      </c>
      <c r="G73" s="2760"/>
      <c r="N73" s="2760"/>
      <c r="S73" s="2760"/>
    </row>
    <row r="74" spans="1:26" s="2759" customFormat="1">
      <c r="A74" s="2759" t="s">
        <v>2632</v>
      </c>
      <c r="G74" s="2760"/>
      <c r="N74" s="2760"/>
      <c r="S74" s="2760"/>
    </row>
    <row r="75" spans="1:26" s="2759" customFormat="1">
      <c r="A75" s="2759" t="s">
        <v>2633</v>
      </c>
      <c r="G75" s="2760"/>
      <c r="I75" s="2761"/>
      <c r="J75" s="2761"/>
      <c r="K75" s="2761"/>
      <c r="L75" s="2761"/>
      <c r="N75" s="2762"/>
      <c r="O75" s="2761"/>
      <c r="P75" s="2761"/>
      <c r="Q75" s="2761"/>
      <c r="S75" s="2762"/>
      <c r="T75" s="2761"/>
      <c r="U75" s="2761"/>
      <c r="V75" s="2761"/>
    </row>
    <row r="76" spans="1:26" s="2759" customFormat="1">
      <c r="A76" s="2759" t="s">
        <v>2634</v>
      </c>
      <c r="G76" s="2760"/>
      <c r="N76" s="2760"/>
      <c r="S76" s="2760"/>
    </row>
    <row r="83" spans="7:22" ht="13.5" thickBot="1"/>
    <row r="84" spans="7:22">
      <c r="G84" s="2685"/>
      <c r="S84" s="2763" t="s">
        <v>2635</v>
      </c>
      <c r="T84" s="2764" t="s">
        <v>2636</v>
      </c>
      <c r="U84" s="2764" t="s">
        <v>2637</v>
      </c>
      <c r="V84" s="2764" t="s">
        <v>2638</v>
      </c>
    </row>
    <row r="85" spans="7:22">
      <c r="G85" s="2685"/>
      <c r="N85" s="2689"/>
      <c r="O85" s="2690"/>
      <c r="P85" s="2690"/>
      <c r="Q85" s="2690"/>
      <c r="S85" s="2765">
        <v>2006</v>
      </c>
      <c r="T85" s="2766">
        <v>15.1</v>
      </c>
      <c r="U85" s="2766">
        <v>7.43</v>
      </c>
      <c r="V85" s="2766">
        <v>26.26</v>
      </c>
    </row>
    <row r="86" spans="7:22">
      <c r="G86" s="2685"/>
      <c r="N86" s="2689"/>
      <c r="O86" s="2690"/>
      <c r="P86" s="2690"/>
      <c r="Q86" s="2690"/>
      <c r="S86" s="2768">
        <v>2005</v>
      </c>
      <c r="T86" s="2767">
        <v>13.9</v>
      </c>
      <c r="U86" s="2767">
        <v>7.49</v>
      </c>
      <c r="V86" s="2767">
        <v>24.92</v>
      </c>
    </row>
    <row r="87" spans="7:22">
      <c r="G87" s="2685"/>
      <c r="N87" s="2689"/>
      <c r="O87" s="2690"/>
      <c r="P87" s="2690"/>
      <c r="Q87" s="2690"/>
      <c r="S87" s="2765">
        <v>2004</v>
      </c>
      <c r="T87" s="2766">
        <v>9.48</v>
      </c>
      <c r="U87" s="2766">
        <v>7.2</v>
      </c>
      <c r="V87" s="2766">
        <v>14.68</v>
      </c>
    </row>
    <row r="88" spans="7:22">
      <c r="G88" s="2685"/>
      <c r="N88" s="2689"/>
      <c r="O88" s="2690"/>
      <c r="P88" s="2690"/>
      <c r="Q88" s="2690"/>
      <c r="S88" s="2768">
        <v>2003</v>
      </c>
      <c r="T88" s="2767">
        <v>4.5</v>
      </c>
      <c r="U88" s="2767">
        <v>6.12</v>
      </c>
      <c r="V88" s="2767">
        <v>2.34</v>
      </c>
    </row>
    <row r="89" spans="7:22" ht="13.5" thickBot="1">
      <c r="G89" s="2685"/>
      <c r="N89" s="2689"/>
      <c r="O89" s="2690"/>
      <c r="P89" s="2690"/>
      <c r="Q89" s="2690"/>
      <c r="S89" s="2769">
        <v>2002</v>
      </c>
      <c r="T89" s="2770">
        <v>3.59</v>
      </c>
      <c r="U89" s="2770">
        <v>4.54</v>
      </c>
      <c r="V89" s="2770">
        <v>2.5499999999999998</v>
      </c>
    </row>
    <row r="90" spans="7:22">
      <c r="G90" s="2685"/>
      <c r="N90" s="2689"/>
      <c r="O90" s="2690"/>
      <c r="P90" s="2690"/>
      <c r="Q90" s="2690"/>
    </row>
    <row r="91" spans="7:22">
      <c r="G91" s="2685"/>
      <c r="N91" s="2689"/>
      <c r="O91" s="2690"/>
      <c r="P91" s="2690"/>
      <c r="Q91" s="2690"/>
    </row>
    <row r="92" spans="7:22">
      <c r="G92" s="2685"/>
      <c r="N92" s="2689"/>
      <c r="O92" s="2690"/>
      <c r="P92" s="2690"/>
      <c r="Q92" s="2690"/>
    </row>
    <row r="93" spans="7:22">
      <c r="G93" s="2685"/>
      <c r="N93" s="2689"/>
      <c r="O93" s="2690"/>
      <c r="P93" s="2690"/>
      <c r="Q93" s="2690"/>
    </row>
    <row r="94" spans="7:22">
      <c r="G94" s="2685"/>
      <c r="N94" s="2689"/>
      <c r="O94" s="2690"/>
      <c r="P94" s="2690"/>
      <c r="Q94" s="2690"/>
    </row>
    <row r="95" spans="7:22">
      <c r="G95" s="2685"/>
      <c r="N95" s="2689"/>
      <c r="O95" s="2690"/>
      <c r="P95" s="2690"/>
      <c r="Q95" s="2690"/>
    </row>
    <row r="96" spans="7:22">
      <c r="G96" s="2685"/>
      <c r="N96" s="2689"/>
      <c r="O96" s="2690"/>
      <c r="P96" s="2690"/>
      <c r="Q96" s="2690"/>
    </row>
    <row r="97" spans="7:19">
      <c r="G97" s="2685"/>
      <c r="N97" s="2689"/>
      <c r="O97" s="2690"/>
      <c r="P97" s="2690"/>
      <c r="Q97" s="2690"/>
    </row>
    <row r="98" spans="7:19">
      <c r="G98" s="2685"/>
      <c r="N98" s="2689"/>
      <c r="O98" s="2690"/>
      <c r="P98" s="2690"/>
      <c r="Q98" s="2690"/>
    </row>
    <row r="99" spans="7:19">
      <c r="G99" s="2685"/>
      <c r="N99" s="2689"/>
      <c r="O99" s="2690"/>
      <c r="P99" s="2690"/>
      <c r="Q99" s="2690"/>
    </row>
    <row r="100" spans="7:19">
      <c r="G100" s="2685"/>
      <c r="N100" s="2689"/>
      <c r="O100" s="2690"/>
      <c r="P100" s="2690"/>
      <c r="Q100" s="2690"/>
      <c r="S100" s="2685"/>
    </row>
    <row r="101" spans="7:19">
      <c r="G101" s="2685"/>
      <c r="N101" s="2689"/>
      <c r="O101" s="2690"/>
      <c r="P101" s="2690"/>
      <c r="Q101" s="2690"/>
      <c r="S101" s="2685"/>
    </row>
    <row r="102" spans="7:19">
      <c r="G102" s="2685"/>
      <c r="N102" s="2689"/>
      <c r="O102" s="2690"/>
      <c r="P102" s="2690"/>
      <c r="Q102" s="2690"/>
      <c r="S102" s="2685"/>
    </row>
    <row r="103" spans="7:19">
      <c r="G103" s="2685"/>
      <c r="N103" s="2689"/>
      <c r="O103" s="2690"/>
      <c r="P103" s="2690"/>
      <c r="Q103" s="2690"/>
      <c r="S103" s="2685"/>
    </row>
    <row r="104" spans="7:19">
      <c r="G104" s="2685"/>
      <c r="N104" s="2689"/>
      <c r="O104" s="2690"/>
      <c r="P104" s="2690"/>
      <c r="Q104" s="2690"/>
      <c r="S104" s="2685"/>
    </row>
    <row r="105" spans="7:19">
      <c r="G105" s="2685"/>
      <c r="N105" s="2689"/>
      <c r="O105" s="2690"/>
      <c r="P105" s="2690"/>
      <c r="Q105" s="2690"/>
      <c r="S105" s="2685"/>
    </row>
  </sheetData>
  <sheetProtection sheet="1" objects="1" scenarios="1"/>
  <mergeCells count="21">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 ref="G31:G34"/>
    <mergeCell ref="G35:G38"/>
    <mergeCell ref="G39:G42"/>
    <mergeCell ref="G11:G14"/>
    <mergeCell ref="G15:G18"/>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0" zoomScale="80" zoomScaleNormal="80" workbookViewId="0">
      <selection activeCell="C43" sqref="C4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3079</v>
      </c>
      <c r="D1" s="3150" t="s">
        <v>3093</v>
      </c>
      <c r="E1" s="2409" t="s">
        <v>2374</v>
      </c>
      <c r="F1" s="2410">
        <f>J53</f>
        <v>60</v>
      </c>
      <c r="G1" s="773">
        <f>MATCH(C1,'数据-取费表'!A6:A16,0)+5</f>
        <v>7</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1723</v>
      </c>
      <c r="B2" s="774">
        <f ca="1">C40+J29+L46</f>
        <v>64650</v>
      </c>
      <c r="C2" s="2055"/>
      <c r="D2" s="2053"/>
      <c r="E2" s="2054"/>
      <c r="F2" s="2054"/>
      <c r="G2" s="1587"/>
      <c r="H2" s="2055"/>
      <c r="I2" s="2055"/>
      <c r="J2" s="2055"/>
      <c r="K2" s="2056"/>
      <c r="L2" s="2055"/>
      <c r="M2" s="2055"/>
    </row>
    <row r="3" spans="1:33" ht="18" customHeight="1" thickBot="1">
      <c r="A3" s="832" t="s">
        <v>1724</v>
      </c>
      <c r="B3" s="833">
        <f ca="1">IF(ISERROR(B2*10000/F43),0,ROUND(B2*10000/F43,0))</f>
        <v>21249</v>
      </c>
      <c r="C3" s="2055"/>
      <c r="D3" s="2053"/>
      <c r="E3" s="2054"/>
      <c r="F3" s="2054"/>
      <c r="G3" s="1587"/>
      <c r="H3" s="775" t="s">
        <v>691</v>
      </c>
      <c r="I3" s="1362"/>
      <c r="J3" s="1362"/>
      <c r="K3" s="1588"/>
      <c r="L3" s="1362"/>
      <c r="M3" s="1362"/>
    </row>
    <row r="4" spans="1:33" ht="18" customHeight="1">
      <c r="A4" s="776" t="s">
        <v>1725</v>
      </c>
      <c r="B4" s="777" t="s">
        <v>1726</v>
      </c>
      <c r="C4" s="777" t="s">
        <v>1727</v>
      </c>
      <c r="D4" s="777" t="s">
        <v>629</v>
      </c>
      <c r="E4" s="778" t="s">
        <v>1728</v>
      </c>
      <c r="F4" s="779"/>
      <c r="G4" s="1589"/>
      <c r="H4" s="776" t="s">
        <v>1729</v>
      </c>
      <c r="I4" s="777" t="s">
        <v>1730</v>
      </c>
      <c r="J4" s="777" t="s">
        <v>1731</v>
      </c>
      <c r="K4" s="777" t="s">
        <v>1732</v>
      </c>
      <c r="L4" s="778" t="s">
        <v>1733</v>
      </c>
      <c r="M4" s="779"/>
    </row>
    <row r="5" spans="1:33" ht="18" customHeight="1">
      <c r="A5" s="780">
        <v>1</v>
      </c>
      <c r="B5" s="781" t="s">
        <v>2458</v>
      </c>
      <c r="C5" s="55">
        <f ca="1">C6+C10+C12</f>
        <v>2324</v>
      </c>
      <c r="D5" s="2518" t="s">
        <v>2461</v>
      </c>
      <c r="E5" s="2512"/>
      <c r="F5" s="2513"/>
      <c r="G5" s="1589"/>
      <c r="H5" s="780">
        <v>1</v>
      </c>
      <c r="I5" s="781" t="s">
        <v>2458</v>
      </c>
      <c r="J5" s="55">
        <f ca="1">J6+J10+J12</f>
        <v>0</v>
      </c>
      <c r="K5" s="2518" t="s">
        <v>2461</v>
      </c>
      <c r="L5" s="2512"/>
      <c r="M5" s="2513"/>
    </row>
    <row r="6" spans="1:33" ht="18" customHeight="1">
      <c r="A6" s="1828" t="s">
        <v>1821</v>
      </c>
      <c r="B6" s="3499" t="s">
        <v>2463</v>
      </c>
      <c r="C6" s="782">
        <f ca="1">ROUND(F6*F8*F7*(1-F9)/10000,0)</f>
        <v>2321</v>
      </c>
      <c r="D6" s="2519" t="s">
        <v>2462</v>
      </c>
      <c r="E6" s="783" t="s">
        <v>1735</v>
      </c>
      <c r="F6" s="784">
        <f ca="1">INDIRECT("'数据-取费表'!u"&amp;$G$1)</f>
        <v>2.2000000000000002</v>
      </c>
      <c r="G6" s="1589"/>
      <c r="H6" s="2526" t="s">
        <v>2468</v>
      </c>
      <c r="I6" s="3499" t="s">
        <v>2463</v>
      </c>
      <c r="J6" s="782">
        <f ca="1">ROUND(M6*M8*M7*(1-M9)/10000,0)</f>
        <v>0</v>
      </c>
      <c r="K6" s="340" t="s">
        <v>1734</v>
      </c>
      <c r="L6" s="783" t="s">
        <v>1735</v>
      </c>
      <c r="M6" s="784">
        <f ca="1">INDIRECT("'数据-取费表'!z"&amp;$G$1)</f>
        <v>0</v>
      </c>
    </row>
    <row r="7" spans="1:33" ht="18" customHeight="1">
      <c r="A7" s="2522"/>
      <c r="B7" s="3500"/>
      <c r="C7" s="787"/>
      <c r="D7" s="788"/>
      <c r="E7" s="783" t="s">
        <v>1736</v>
      </c>
      <c r="F7" s="784">
        <f ca="1">IF(INDIRECT("'数据-取费表'!ah"&amp;$G$1)="",INDIRECT("'数据-取费表'!k"&amp;$G$1),INDIRECT("'数据-取费表'!ah"&amp;$G$1))</f>
        <v>30424.589999999997</v>
      </c>
      <c r="G7" s="1589"/>
      <c r="H7" s="2511"/>
      <c r="I7" s="3500"/>
      <c r="J7" s="787"/>
      <c r="K7" s="788"/>
      <c r="L7" s="783" t="s">
        <v>1736</v>
      </c>
      <c r="M7" s="784">
        <f ca="1">F7</f>
        <v>30424.589999999997</v>
      </c>
    </row>
    <row r="8" spans="1:33" ht="18" customHeight="1">
      <c r="A8" s="2515"/>
      <c r="B8" s="3501"/>
      <c r="C8" s="787"/>
      <c r="D8" s="788"/>
      <c r="E8" s="783" t="s">
        <v>1737</v>
      </c>
      <c r="F8" s="784">
        <f ca="1">INDIRECT("'数据-取费表'!ai"&amp;$G$1)</f>
        <v>365</v>
      </c>
      <c r="G8" s="1589"/>
      <c r="H8" s="2511"/>
      <c r="I8" s="3501"/>
      <c r="J8" s="787"/>
      <c r="K8" s="788"/>
      <c r="L8" s="783" t="s">
        <v>1737</v>
      </c>
      <c r="M8" s="784">
        <f ca="1">INDIRECT("'数据-取费表'!ai"&amp;$G$1)</f>
        <v>365</v>
      </c>
    </row>
    <row r="9" spans="1:33" ht="18" customHeight="1">
      <c r="A9" s="785"/>
      <c r="B9" s="3502"/>
      <c r="C9" s="787"/>
      <c r="D9" s="788"/>
      <c r="E9" s="783" t="s">
        <v>1738</v>
      </c>
      <c r="F9" s="793">
        <f ca="1">INDIRECT("'数据-取费表'!w"&amp;$G$1)</f>
        <v>0.05</v>
      </c>
      <c r="G9" s="1589"/>
      <c r="H9" s="2527"/>
      <c r="I9" s="3501"/>
      <c r="J9" s="787"/>
      <c r="K9" s="788"/>
      <c r="L9" s="794" t="s">
        <v>1738</v>
      </c>
      <c r="M9" s="795">
        <f ca="1">INDIRECT("'数据-取费表'!ab"&amp;$G$1)</f>
        <v>0</v>
      </c>
    </row>
    <row r="10" spans="1:33" ht="18" customHeight="1">
      <c r="A10" s="1828" t="s">
        <v>2466</v>
      </c>
      <c r="B10" s="2516" t="s">
        <v>2459</v>
      </c>
      <c r="C10" s="798">
        <f ca="1">ROUND(IF(F10="押一",C6/12*F11,IF(F10="押二",C6/12*2*F11,IF(F10="押三",C6/12*3*F11,C11*F11))),0)</f>
        <v>3</v>
      </c>
      <c r="D10" s="2523" t="s">
        <v>2976</v>
      </c>
      <c r="E10" s="2520" t="s">
        <v>2464</v>
      </c>
      <c r="F10" s="2643" t="s">
        <v>3094</v>
      </c>
      <c r="G10" s="1589"/>
      <c r="H10" s="2583" t="s">
        <v>2469</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2465</v>
      </c>
      <c r="F11" s="795">
        <f ca="1">'数据-取费表'!B39</f>
        <v>1.4999999999999999E-2</v>
      </c>
      <c r="G11" s="1589"/>
      <c r="H11" s="2584"/>
      <c r="I11" s="2517" t="s">
        <v>2573</v>
      </c>
      <c r="J11" s="2521"/>
      <c r="K11" s="2585"/>
      <c r="L11" s="2520" t="s">
        <v>2465</v>
      </c>
      <c r="M11" s="2514">
        <f ca="1">'数据-取费表'!B39</f>
        <v>1.4999999999999999E-2</v>
      </c>
    </row>
    <row r="12" spans="1:33" ht="18" customHeight="1" thickBot="1">
      <c r="A12" s="2559" t="s">
        <v>2467</v>
      </c>
      <c r="B12" s="2560" t="s">
        <v>2460</v>
      </c>
      <c r="C12" s="2561"/>
      <c r="D12" s="2562"/>
      <c r="E12" s="2563"/>
      <c r="F12" s="2564"/>
      <c r="G12" s="1589"/>
      <c r="H12" s="2573" t="s">
        <v>2470</v>
      </c>
      <c r="I12" s="2586" t="s">
        <v>2460</v>
      </c>
      <c r="J12" s="2587"/>
      <c r="K12" s="2562"/>
      <c r="L12" s="2563"/>
      <c r="M12" s="2576"/>
    </row>
    <row r="13" spans="1:33" ht="18" customHeight="1" thickTop="1">
      <c r="A13" s="1827">
        <v>2</v>
      </c>
      <c r="B13" s="1825" t="s">
        <v>1739</v>
      </c>
      <c r="C13" s="791">
        <f ca="1">ROUND(C29*F13,0)</f>
        <v>13729</v>
      </c>
      <c r="D13" s="1832" t="s">
        <v>2296</v>
      </c>
      <c r="E13" s="1832" t="s">
        <v>1741</v>
      </c>
      <c r="F13" s="2558">
        <f ca="1">INDIRECT("'数据-取费表'!y"&amp;$G$1)</f>
        <v>1</v>
      </c>
      <c r="G13" s="1589"/>
      <c r="H13" s="1827">
        <v>2</v>
      </c>
      <c r="I13" s="1825" t="s">
        <v>1739</v>
      </c>
      <c r="J13" s="1817">
        <f ca="1">ROUND(J14*J15,0)</f>
        <v>0</v>
      </c>
      <c r="K13" s="1819" t="s">
        <v>1740</v>
      </c>
      <c r="L13" s="2574"/>
      <c r="M13" s="2575"/>
    </row>
    <row r="14" spans="1:33" ht="18" customHeight="1">
      <c r="A14" s="1645" t="s">
        <v>1881</v>
      </c>
      <c r="B14" s="783" t="s">
        <v>641</v>
      </c>
      <c r="C14" s="803">
        <f ca="1">INDIRECT("'数据-取费表'!m"&amp;$G$1)+INDIRECT("'数据-取费表'!t"&amp;$G$1)</f>
        <v>9379</v>
      </c>
      <c r="D14" s="1977" t="s">
        <v>1742</v>
      </c>
      <c r="E14" s="1978"/>
      <c r="F14" s="804"/>
      <c r="G14" s="1589"/>
      <c r="H14" s="1646" t="s">
        <v>1827</v>
      </c>
      <c r="I14" s="2229" t="s">
        <v>2826</v>
      </c>
      <c r="J14" s="53">
        <f ca="1">C29</f>
        <v>13729</v>
      </c>
      <c r="K14" s="26"/>
      <c r="L14" s="800"/>
      <c r="M14" s="801"/>
    </row>
    <row r="15" spans="1:33" s="2062" customFormat="1" ht="18" customHeight="1" thickBot="1">
      <c r="A15" s="1645" t="s">
        <v>1882</v>
      </c>
      <c r="B15" s="783" t="s">
        <v>643</v>
      </c>
      <c r="C15" s="53">
        <f ca="1">ROUND(C14*F15,0)</f>
        <v>281</v>
      </c>
      <c r="D15" s="805" t="s">
        <v>1743</v>
      </c>
      <c r="E15" s="805" t="s">
        <v>1744</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1883</v>
      </c>
      <c r="B16" s="783" t="s">
        <v>646</v>
      </c>
      <c r="C16" s="53">
        <f ca="1">ROUND(INDIRECT("'数据-取费表'!m"&amp;$G$1)*F16,0)</f>
        <v>396</v>
      </c>
      <c r="D16" s="783" t="s">
        <v>1743</v>
      </c>
      <c r="E16" s="783" t="s">
        <v>1744</v>
      </c>
      <c r="F16" s="808">
        <f ca="1">IF(INDIRECT("'数据-取费表'!c"&amp;$G$1)="住宅",'数据-取费表'!B34,0)</f>
        <v>0.05</v>
      </c>
      <c r="G16" s="1589"/>
      <c r="H16" s="1827" t="s">
        <v>1745</v>
      </c>
      <c r="I16" s="1825" t="s">
        <v>1746</v>
      </c>
      <c r="J16" s="791">
        <f ca="1">ROUND(J17+J22+J23+J24,0)</f>
        <v>1361</v>
      </c>
      <c r="K16" s="1819" t="s">
        <v>1747</v>
      </c>
      <c r="L16" s="2508"/>
      <c r="M16" s="2513"/>
    </row>
    <row r="17" spans="1:33" s="2062" customFormat="1" ht="18" customHeight="1">
      <c r="A17" s="1645" t="s">
        <v>1884</v>
      </c>
      <c r="B17" s="783" t="s">
        <v>649</v>
      </c>
      <c r="C17" s="53">
        <f ca="1">ROUND(F17*(F43+INDIRECT("'数据-取费表'!S"&amp;$G$1))/10000,0)</f>
        <v>649</v>
      </c>
      <c r="D17" s="783" t="s">
        <v>1748</v>
      </c>
      <c r="E17" s="783" t="s">
        <v>1749</v>
      </c>
      <c r="F17" s="56">
        <f>'数据-取费表'!B35</f>
        <v>180</v>
      </c>
      <c r="G17" s="1590"/>
      <c r="H17" s="1646" t="s">
        <v>1827</v>
      </c>
      <c r="I17" s="783" t="s">
        <v>652</v>
      </c>
      <c r="J17" s="53">
        <f ca="1">ROUND(IF(项目基本情况!B11="自然人",J5*M17,J18+J19+J20),0)</f>
        <v>1155</v>
      </c>
      <c r="K17" s="2507" t="s">
        <v>1750</v>
      </c>
      <c r="L17" s="2506"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141</v>
      </c>
      <c r="D18" s="783" t="s">
        <v>1743</v>
      </c>
      <c r="E18" s="783" t="s">
        <v>1744</v>
      </c>
      <c r="F18" s="808">
        <f>'数据-取费表'!B36</f>
        <v>1.4999999999999999E-2</v>
      </c>
      <c r="G18" s="1590"/>
      <c r="H18" s="1645" t="s">
        <v>1881</v>
      </c>
      <c r="I18" s="783" t="s">
        <v>1752</v>
      </c>
      <c r="J18" s="53">
        <f ca="1">ROUND(J5*M18/1.05,1)</f>
        <v>0</v>
      </c>
      <c r="K18" s="2506" t="s">
        <v>1753</v>
      </c>
      <c r="L18" s="783" t="s">
        <v>1744</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1827</v>
      </c>
      <c r="B19" s="783" t="s">
        <v>658</v>
      </c>
      <c r="C19" s="53">
        <f ca="1">SUM(C14:C18)</f>
        <v>10846</v>
      </c>
      <c r="D19" s="260" t="s">
        <v>1754</v>
      </c>
      <c r="E19" s="1980"/>
      <c r="F19" s="56"/>
      <c r="G19" s="1589"/>
      <c r="H19" s="1645" t="s">
        <v>1882</v>
      </c>
      <c r="I19" s="783" t="s">
        <v>1755</v>
      </c>
      <c r="J19" s="53">
        <f ca="1">IF(K19="按租金收入计税",ROUND(J5*M19,1),ROUND(C29*F33*0.7,1))</f>
        <v>1153.2</v>
      </c>
      <c r="K19" s="810" t="s">
        <v>661</v>
      </c>
      <c r="L19" s="783" t="s">
        <v>1744</v>
      </c>
      <c r="M19" s="808">
        <f>IF(K19="按租金收入计税",'数据-取费表'!B51,'数据-取费表'!B50)</f>
        <v>1.2E-2</v>
      </c>
    </row>
    <row r="20" spans="1:33" s="2062" customFormat="1" ht="18" customHeight="1">
      <c r="A20" s="1646" t="s">
        <v>1886</v>
      </c>
      <c r="B20" s="783" t="s">
        <v>662</v>
      </c>
      <c r="C20" s="53">
        <f ca="1">ROUND(C19*F20,0)</f>
        <v>217</v>
      </c>
      <c r="D20" s="811" t="s">
        <v>1756</v>
      </c>
      <c r="E20" s="783" t="s">
        <v>1744</v>
      </c>
      <c r="F20" s="808">
        <f>'数据-取费表'!B37</f>
        <v>0.02</v>
      </c>
      <c r="G20" s="1590"/>
      <c r="H20" s="1648" t="s">
        <v>1877</v>
      </c>
      <c r="I20" s="340" t="s">
        <v>1757</v>
      </c>
      <c r="J20" s="54">
        <f ca="1">ROUND(M20*M21/10000,0)</f>
        <v>2</v>
      </c>
      <c r="K20" s="813" t="s">
        <v>1758</v>
      </c>
      <c r="L20" s="783" t="s">
        <v>1759</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1760</v>
      </c>
      <c r="C21" s="53" t="s">
        <v>1761</v>
      </c>
      <c r="D21" s="811" t="s">
        <v>2297</v>
      </c>
      <c r="E21" s="783" t="s">
        <v>1762</v>
      </c>
      <c r="F21" s="808">
        <f>'数据-取费表'!B38</f>
        <v>0.02</v>
      </c>
      <c r="G21" s="1590"/>
      <c r="H21" s="2528"/>
      <c r="I21" s="792"/>
      <c r="J21" s="69"/>
      <c r="K21" s="815"/>
      <c r="L21" s="783" t="s">
        <v>1763</v>
      </c>
      <c r="M21" s="784">
        <f ca="1">INDIRECT("'数据-取费表'!r"&amp;$G$1)</f>
        <v>12320.89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1980"/>
      <c r="F22" s="56"/>
      <c r="G22" s="1589"/>
      <c r="H22" s="1646" t="s">
        <v>1886</v>
      </c>
      <c r="I22" s="783" t="s">
        <v>1765</v>
      </c>
      <c r="J22" s="53">
        <f ca="1">ROUND(J14*M22,0)</f>
        <v>206</v>
      </c>
      <c r="K22" s="2506" t="s">
        <v>1766</v>
      </c>
      <c r="L22" s="783" t="s">
        <v>1744</v>
      </c>
      <c r="M22" s="816">
        <f ca="1">INDIRECT("'数据-取费表'!Ak"&amp;$G$1)</f>
        <v>1.4999999999999999E-2</v>
      </c>
    </row>
    <row r="23" spans="1:33" s="2062" customFormat="1" ht="18" customHeight="1">
      <c r="A23" s="1645" t="s">
        <v>1828</v>
      </c>
      <c r="B23" s="783" t="s">
        <v>2535</v>
      </c>
      <c r="C23" s="53">
        <f ca="1">ROUND(IF('数据-取费表'!B22&lt;=1,(C19+C20)*F24*F23/2,(C19+C20)*(POWER((1+F24),F23/2)-1)),0)</f>
        <v>525</v>
      </c>
      <c r="D23" s="2593" t="str">
        <f>IF(F23&lt;=1,"(建造成本+管理费用)×利率×(建设周期÷2)","(建造成本+管理费用)×((1+利率)^(建设周期÷2)-1)")</f>
        <v>(建造成本+管理费用)×((1+利率)^(建设周期÷2)-1)</v>
      </c>
      <c r="E23" s="783" t="s">
        <v>1767</v>
      </c>
      <c r="F23" s="639">
        <f>'数据-取费表'!B20</f>
        <v>2</v>
      </c>
      <c r="G23" s="1590"/>
      <c r="H23" s="1646" t="s">
        <v>1887</v>
      </c>
      <c r="I23" s="783" t="s">
        <v>675</v>
      </c>
      <c r="J23" s="53">
        <f ca="1">ROUND(J13*M23,0)</f>
        <v>0</v>
      </c>
      <c r="K23" s="2506" t="s">
        <v>1768</v>
      </c>
      <c r="L23" s="783" t="s">
        <v>1744</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1769</v>
      </c>
      <c r="C24" s="53">
        <f ca="1">ROUND(IF('数据-取费表'!B22&lt;=1,F21*F24*F23/2,F21*(POWER((1+F24),F23/2)-1)),4)</f>
        <v>1E-3</v>
      </c>
      <c r="D24" s="2593" t="str">
        <f>IF(F23&lt;=1,"销售费用×利率×(建设周期÷2)","销售费用×((1+利率)^(建设周期÷2)-1)")</f>
        <v>销售费用×((1+利率)^(建设周期÷2)-1)</v>
      </c>
      <c r="E24" s="783" t="s">
        <v>1770</v>
      </c>
      <c r="F24" s="818">
        <f ca="1">'数据-取费表'!B40</f>
        <v>4.7500000000000001E-2</v>
      </c>
      <c r="G24" s="1590"/>
      <c r="H24" s="2573" t="s">
        <v>1888</v>
      </c>
      <c r="I24" s="2568" t="s">
        <v>662</v>
      </c>
      <c r="J24" s="2566">
        <f ca="1">ROUND(J5*M24,0)</f>
        <v>0</v>
      </c>
      <c r="K24" s="2567" t="s">
        <v>1771</v>
      </c>
      <c r="L24" s="2568" t="s">
        <v>1744</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1980"/>
      <c r="F25" s="56"/>
      <c r="G25" s="1589"/>
      <c r="H25" s="1827" t="s">
        <v>1773</v>
      </c>
      <c r="I25" s="3032" t="s">
        <v>2822</v>
      </c>
      <c r="J25" s="791">
        <f ca="1">J5-J16</f>
        <v>-1361</v>
      </c>
      <c r="K25" s="2570" t="s">
        <v>1774</v>
      </c>
      <c r="L25" s="2571"/>
      <c r="M25" s="2572"/>
    </row>
    <row r="26" spans="1:33" ht="18" customHeight="1">
      <c r="A26" s="1645" t="s">
        <v>1828</v>
      </c>
      <c r="B26" s="783" t="s">
        <v>2438</v>
      </c>
      <c r="C26" s="53">
        <f ca="1">ROUND((C19+C20)*F26,0)</f>
        <v>1106</v>
      </c>
      <c r="D26" s="811" t="s">
        <v>1775</v>
      </c>
      <c r="E26" s="794" t="s">
        <v>1776</v>
      </c>
      <c r="F26" s="793">
        <f ca="1">INDIRECT("'数据-取费表'!q"&amp;$G$1)</f>
        <v>0.1</v>
      </c>
      <c r="G26" s="1589"/>
      <c r="H26" s="2524" t="s">
        <v>1777</v>
      </c>
      <c r="I26" s="2230" t="s">
        <v>2827</v>
      </c>
      <c r="J26" s="782">
        <f ca="1">IF(J5&lt;&gt;0,ROUND(J25*(1-((1+M28)/(1+M26))^M27)/(M26-M28),0),0)</f>
        <v>0</v>
      </c>
      <c r="K26" s="813" t="s">
        <v>1778</v>
      </c>
      <c r="L26" s="783" t="s">
        <v>2419</v>
      </c>
      <c r="M26" s="793">
        <f ca="1">INDIRECT("'数据-取费表'!I"&amp;$G$1)</f>
        <v>4.4999999999999998E-2</v>
      </c>
    </row>
    <row r="27" spans="1:33" ht="18" customHeight="1">
      <c r="A27" s="1645" t="s">
        <v>1829</v>
      </c>
      <c r="B27" s="783" t="s">
        <v>682</v>
      </c>
      <c r="C27" s="53">
        <f ca="1">ROUND(F21*F26,4)</f>
        <v>2E-3</v>
      </c>
      <c r="D27" s="811" t="s">
        <v>1779</v>
      </c>
      <c r="E27" s="805"/>
      <c r="F27" s="806"/>
      <c r="G27" s="1589"/>
      <c r="H27" s="2525"/>
      <c r="I27" s="786"/>
      <c r="J27" s="787"/>
      <c r="K27" s="820" t="s">
        <v>1780</v>
      </c>
      <c r="L27" s="783" t="s">
        <v>1781</v>
      </c>
      <c r="M27" s="821">
        <f ca="1">INDIRECT("'数据-取费表'!ag"&amp;$G$1)</f>
        <v>0</v>
      </c>
    </row>
    <row r="28" spans="1:33" s="2062" customFormat="1" ht="18" customHeight="1">
      <c r="A28" s="1647" t="s">
        <v>1838</v>
      </c>
      <c r="B28" s="783" t="s">
        <v>683</v>
      </c>
      <c r="C28" s="53">
        <f>ROUND(F28/(1+'数据-取费表'!C42),4)</f>
        <v>5.2400000000000002E-2</v>
      </c>
      <c r="D28" s="811" t="s">
        <v>2298</v>
      </c>
      <c r="E28" s="783" t="s">
        <v>1782</v>
      </c>
      <c r="F28" s="808">
        <f>'数据-取费表'!B41</f>
        <v>5.5000000000000007E-2</v>
      </c>
      <c r="G28" s="1590"/>
      <c r="H28" s="1827"/>
      <c r="I28" s="790"/>
      <c r="J28" s="791"/>
      <c r="K28" s="815"/>
      <c r="L28" s="783" t="s">
        <v>1783</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13729</v>
      </c>
      <c r="D29" s="2567"/>
      <c r="E29" s="2568"/>
      <c r="F29" s="2569"/>
      <c r="G29" s="1590"/>
      <c r="H29" s="822" t="s">
        <v>1784</v>
      </c>
      <c r="I29" s="823" t="s">
        <v>1785</v>
      </c>
      <c r="J29" s="824">
        <f ca="1">ROUND(J26/(1+F40)^F41,0)</f>
        <v>0</v>
      </c>
      <c r="K29" s="825" t="s">
        <v>1786</v>
      </c>
      <c r="L29" s="826"/>
      <c r="M29" s="827">
        <f ca="1">INDIRECT("'数据-取费表'!k"&amp;$G$1)</f>
        <v>30424.589999999997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1890</v>
      </c>
      <c r="B30" s="1825" t="s">
        <v>1787</v>
      </c>
      <c r="C30" s="791">
        <f ca="1">ROUND(C31+C36+C37+C38,0)</f>
        <v>652</v>
      </c>
      <c r="D30" s="1819" t="s">
        <v>1788</v>
      </c>
      <c r="E30" s="2508"/>
      <c r="F30" s="2513"/>
      <c r="G30" s="2060"/>
      <c r="H30" s="2063"/>
      <c r="I30" s="2064"/>
      <c r="J30" s="2065"/>
      <c r="K30" s="2066"/>
      <c r="L30" s="2067"/>
      <c r="M30" s="2068"/>
    </row>
    <row r="31" spans="1:33" ht="18" customHeight="1">
      <c r="A31" s="1646" t="s">
        <v>1827</v>
      </c>
      <c r="B31" s="783" t="s">
        <v>652</v>
      </c>
      <c r="C31" s="53">
        <f ca="1">ROUND(IF(项目基本情况!B11="自然人",C5*F31,C32+C33+C34),1)</f>
        <v>402.4</v>
      </c>
      <c r="D31" s="1977" t="s">
        <v>1789</v>
      </c>
      <c r="E31" s="1975"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1791</v>
      </c>
      <c r="C32" s="53">
        <f ca="1">ROUND(C5*F32/1.05,1)</f>
        <v>121.7</v>
      </c>
      <c r="D32" s="1975" t="s">
        <v>1792</v>
      </c>
      <c r="E32" s="783" t="s">
        <v>1793</v>
      </c>
      <c r="F32" s="808">
        <f>'数据-取费表'!B41</f>
        <v>5.5000000000000007E-2</v>
      </c>
      <c r="G32" s="2060"/>
      <c r="H32" s="2069"/>
      <c r="I32" s="2070"/>
      <c r="J32" s="2071"/>
      <c r="K32" s="2072"/>
      <c r="L32" s="2073"/>
      <c r="M32" s="2074"/>
    </row>
    <row r="33" spans="1:18" ht="18" customHeight="1">
      <c r="A33" s="1645" t="s">
        <v>1829</v>
      </c>
      <c r="B33" s="783" t="s">
        <v>1794</v>
      </c>
      <c r="C33" s="53">
        <f ca="1">IF(D33="按租金收入计税",ROUND(C5*F33,1),IF(D33="按房产原值计税",ROUND(C29*F33*0.7,1),INDIRECT("'数据-取费表'!Aj"&amp;$G$1)))</f>
        <v>278.89999999999998</v>
      </c>
      <c r="D33" s="3248" t="s">
        <v>3192</v>
      </c>
      <c r="E33" s="783" t="s">
        <v>1793</v>
      </c>
      <c r="F33" s="808">
        <f>IF(D33="按租金收入计税",'数据-取费表'!B51,'数据-取费表'!B50)</f>
        <v>0.12</v>
      </c>
      <c r="G33" s="2060"/>
      <c r="H33" s="2075"/>
      <c r="I33" s="2075"/>
      <c r="J33" s="2075"/>
      <c r="K33" s="2076"/>
      <c r="L33" s="2075"/>
      <c r="M33" s="2075"/>
    </row>
    <row r="34" spans="1:18" ht="18" customHeight="1">
      <c r="A34" s="1648" t="s">
        <v>1830</v>
      </c>
      <c r="B34" s="340" t="s">
        <v>1795</v>
      </c>
      <c r="C34" s="54">
        <f ca="1">ROUND(F34*F35/10000,1)</f>
        <v>1.8</v>
      </c>
      <c r="D34" s="813" t="s">
        <v>1796</v>
      </c>
      <c r="E34" s="783" t="s">
        <v>1797</v>
      </c>
      <c r="F34" s="639">
        <f>'数据-取费表'!B52</f>
        <v>1.5</v>
      </c>
      <c r="G34" s="2060"/>
      <c r="H34" s="2063"/>
      <c r="I34" s="834" t="s">
        <v>1810</v>
      </c>
      <c r="J34" s="835"/>
      <c r="K34" s="2078"/>
      <c r="L34" s="2077"/>
      <c r="M34" s="2077"/>
    </row>
    <row r="35" spans="1:18" ht="18" customHeight="1">
      <c r="A35" s="814"/>
      <c r="B35" s="792"/>
      <c r="C35" s="69"/>
      <c r="D35" s="815"/>
      <c r="E35" s="783" t="s">
        <v>1798</v>
      </c>
      <c r="F35" s="784">
        <f ca="1">INDIRECT("'数据-取费表'!r"&amp;$G$1)</f>
        <v>12320.89</v>
      </c>
      <c r="G35" s="2060"/>
      <c r="H35" s="2063"/>
      <c r="I35" s="836" t="s">
        <v>1811</v>
      </c>
      <c r="J35" s="837">
        <f ca="1">ROUND(C13*J36,0)</f>
        <v>1098</v>
      </c>
      <c r="K35" s="2076"/>
      <c r="L35" s="2075"/>
      <c r="M35" s="2075"/>
    </row>
    <row r="36" spans="1:18" ht="18" customHeight="1">
      <c r="A36" s="1646" t="s">
        <v>1886</v>
      </c>
      <c r="B36" s="783" t="s">
        <v>1799</v>
      </c>
      <c r="C36" s="53">
        <f ca="1">ROUND(C29*F36,1)</f>
        <v>205.9</v>
      </c>
      <c r="D36" s="1975" t="s">
        <v>1800</v>
      </c>
      <c r="E36" s="783" t="s">
        <v>1793</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20.6</v>
      </c>
      <c r="D37" s="1975" t="s">
        <v>1801</v>
      </c>
      <c r="E37" s="783" t="s">
        <v>1793</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23.2</v>
      </c>
      <c r="D38" s="2567" t="s">
        <v>1802</v>
      </c>
      <c r="E38" s="2568" t="s">
        <v>1793</v>
      </c>
      <c r="F38" s="2564">
        <f ca="1">INDIRECT("'数据-取费表'!Am"&amp;$G$1)</f>
        <v>0.01</v>
      </c>
      <c r="G38" s="2060"/>
      <c r="H38" s="2075"/>
      <c r="I38" s="842" t="s">
        <v>1814</v>
      </c>
      <c r="J38" s="843"/>
      <c r="K38" s="2081"/>
      <c r="L38" s="2075"/>
      <c r="M38" s="2075"/>
    </row>
    <row r="39" spans="1:18" ht="24.6" customHeight="1" thickTop="1">
      <c r="A39" s="1827" t="s">
        <v>1891</v>
      </c>
      <c r="B39" s="3032" t="s">
        <v>2822</v>
      </c>
      <c r="C39" s="791">
        <f ca="1">C5-C30</f>
        <v>1672</v>
      </c>
      <c r="D39" s="2570" t="s">
        <v>1803</v>
      </c>
      <c r="E39" s="2571"/>
      <c r="F39" s="2572"/>
      <c r="G39" s="2060"/>
      <c r="H39" s="2075"/>
      <c r="I39" s="836" t="s">
        <v>1815</v>
      </c>
      <c r="J39" s="844">
        <f ca="1">ROUND(J35/C39,3)</f>
        <v>0.65700000000000003</v>
      </c>
      <c r="K39" s="2081"/>
      <c r="L39" s="2075"/>
      <c r="M39" s="2075"/>
    </row>
    <row r="40" spans="1:18" ht="18" customHeight="1">
      <c r="A40" s="780" t="s">
        <v>1892</v>
      </c>
      <c r="B40" s="2230" t="s">
        <v>2300</v>
      </c>
      <c r="C40" s="782">
        <f ca="1">ROUND(C39*(1-((1+F42)/(1+F40))^F41)/(F40-F42),0)</f>
        <v>64650</v>
      </c>
      <c r="D40" s="813" t="s">
        <v>1804</v>
      </c>
      <c r="E40" s="783" t="s">
        <v>2419</v>
      </c>
      <c r="F40" s="793">
        <f ca="1">INDIRECT("'数据-取费表'!I"&amp;$G$1)</f>
        <v>4.4999999999999998E-2</v>
      </c>
      <c r="G40" s="2060"/>
      <c r="H40" s="2060"/>
      <c r="I40" s="836" t="s">
        <v>1816</v>
      </c>
      <c r="J40" s="844">
        <f ca="1">1-J39</f>
        <v>0.34299999999999997</v>
      </c>
      <c r="K40" s="2081"/>
      <c r="L40" s="2060"/>
      <c r="M40" s="2060"/>
    </row>
    <row r="41" spans="1:18" ht="18" customHeight="1">
      <c r="A41" s="785"/>
      <c r="B41" s="786"/>
      <c r="C41" s="787"/>
      <c r="D41" s="820" t="s">
        <v>1805</v>
      </c>
      <c r="E41" s="783" t="s">
        <v>2966</v>
      </c>
      <c r="F41" s="821">
        <f ca="1">IF(INDIRECT("'数据-取费表'!af"&amp;$G$1)=0,INDIRECT("'数据-取费表'!ae"&amp;$G$1),INDIRECT("'数据-取费表'!af"&amp;$G$1))</f>
        <v>60</v>
      </c>
      <c r="G41" s="2060"/>
      <c r="H41" s="1986"/>
      <c r="I41" s="842" t="s">
        <v>1817</v>
      </c>
      <c r="J41" s="845"/>
      <c r="K41" s="2080"/>
      <c r="L41" s="1986"/>
      <c r="M41" s="1986"/>
    </row>
    <row r="42" spans="1:18" ht="18" customHeight="1">
      <c r="A42" s="789"/>
      <c r="B42" s="790"/>
      <c r="C42" s="791"/>
      <c r="D42" s="815"/>
      <c r="E42" s="783" t="s">
        <v>1806</v>
      </c>
      <c r="F42" s="793">
        <f ca="1">INDIRECT("'数据-取费表'!v"&amp;$G$1)</f>
        <v>0.03</v>
      </c>
      <c r="G42" s="2060"/>
      <c r="H42" s="1986"/>
      <c r="I42" s="846" t="s">
        <v>1818</v>
      </c>
      <c r="J42" s="844">
        <f ca="1">ROUND(C13/C40,3)</f>
        <v>0.21199999999999999</v>
      </c>
      <c r="K42" s="2080"/>
      <c r="L42" s="1986"/>
      <c r="M42" s="1986"/>
    </row>
    <row r="43" spans="1:18" ht="18" customHeight="1" thickBot="1">
      <c r="A43" s="822" t="s">
        <v>1784</v>
      </c>
      <c r="B43" s="823" t="s">
        <v>1807</v>
      </c>
      <c r="C43" s="824">
        <f ca="1">ROUND(C40*10000/F43,0)</f>
        <v>21249</v>
      </c>
      <c r="D43" s="825" t="s">
        <v>1808</v>
      </c>
      <c r="E43" s="826" t="s">
        <v>1809</v>
      </c>
      <c r="F43" s="827">
        <f ca="1">INDIRECT("'数据-取费表'!k"&amp;$G$1)</f>
        <v>30424.589999999997</v>
      </c>
      <c r="G43" s="2060"/>
      <c r="H43" s="1986"/>
      <c r="I43" s="846" t="s">
        <v>1819</v>
      </c>
      <c r="J43" s="847">
        <f ca="1">1-J42</f>
        <v>0.78800000000000003</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-69355</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70</v>
      </c>
      <c r="M47" s="1601" t="str">
        <f>IF(ISNUMBER(FIND("住宅",C1)),"住宅","非住宅")</f>
        <v>住宅</v>
      </c>
      <c r="O47" s="2417" t="s">
        <v>2375</v>
      </c>
      <c r="P47" s="2418" t="s">
        <v>2376</v>
      </c>
      <c r="Q47" s="2419" t="s">
        <v>2377</v>
      </c>
      <c r="R47" s="2418" t="s">
        <v>2378</v>
      </c>
    </row>
    <row r="48" spans="1:18" s="2057" customFormat="1" ht="18" customHeight="1" thickBot="1">
      <c r="A48" s="2664" t="s">
        <v>2537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69.33</v>
      </c>
      <c r="O48" s="2420" t="s">
        <v>2379</v>
      </c>
      <c r="P48" s="2421" t="s">
        <v>2405</v>
      </c>
      <c r="Q48" s="2422">
        <f ca="1">C40+J29</f>
        <v>64650</v>
      </c>
      <c r="R48" s="2421" t="s">
        <v>2380</v>
      </c>
    </row>
    <row r="49" spans="1:18" s="2057" customFormat="1" ht="18" customHeight="1" thickBot="1">
      <c r="A49" s="785"/>
      <c r="B49" s="786"/>
      <c r="C49" s="787"/>
      <c r="D49" s="788"/>
      <c r="E49" s="783" t="s">
        <v>1736</v>
      </c>
      <c r="F49" s="784">
        <f ca="1">F7</f>
        <v>30424.589999999997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1737</v>
      </c>
      <c r="F50" s="784">
        <f ca="1">F8</f>
        <v>365</v>
      </c>
      <c r="G50" s="2093"/>
      <c r="H50" s="2091"/>
      <c r="I50" s="2381" t="s">
        <v>2346</v>
      </c>
      <c r="J50" s="2394">
        <f>SUMPRODUCT((I63:I65=J47)*(J62:L62=J48)*(J63:L65))</f>
        <v>60</v>
      </c>
      <c r="K50" s="2392" t="s">
        <v>2353</v>
      </c>
      <c r="L50" s="2393"/>
      <c r="O50" s="2423" t="s">
        <v>2383</v>
      </c>
      <c r="P50" s="2421" t="s">
        <v>2407</v>
      </c>
      <c r="Q50" s="2422">
        <f ca="1">C29</f>
        <v>13729</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13396</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2977</v>
      </c>
      <c r="E52" s="2520" t="s">
        <v>2464</v>
      </c>
      <c r="F52" s="2643"/>
      <c r="I52" s="2383" t="s">
        <v>2421</v>
      </c>
      <c r="J52" s="2397">
        <v>0.08</v>
      </c>
      <c r="K52" s="2383" t="s">
        <v>2420</v>
      </c>
      <c r="L52" s="2397"/>
      <c r="O52" s="2423" t="s">
        <v>2386</v>
      </c>
      <c r="P52" s="2421" t="s">
        <v>2387</v>
      </c>
      <c r="Q52" s="2424">
        <f>J52</f>
        <v>0.08</v>
      </c>
      <c r="R52" s="2425"/>
    </row>
    <row r="53" spans="1:18" s="2057" customFormat="1" ht="39.75" customHeight="1" thickBot="1">
      <c r="A53" s="785"/>
      <c r="B53" s="2517" t="s">
        <v>2573</v>
      </c>
      <c r="C53" s="2521"/>
      <c r="D53" s="2523"/>
      <c r="E53" s="2520"/>
      <c r="F53" s="799"/>
      <c r="I53" s="2384" t="s">
        <v>2348</v>
      </c>
      <c r="J53" s="2398">
        <f>IF(M47="住宅",J51,IF(D1="——",MIN(J51,L48),IF(D1="土地（套用方法）",MIN(J51,L48-'数据-取费表'!B20))))</f>
        <v>60</v>
      </c>
      <c r="K53" s="3515" t="s">
        <v>2968</v>
      </c>
      <c r="L53" s="3516"/>
      <c r="O53" s="2423" t="s">
        <v>2388</v>
      </c>
      <c r="P53" s="2421" t="s">
        <v>2389</v>
      </c>
      <c r="Q53" s="2422">
        <f>J53</f>
        <v>60</v>
      </c>
      <c r="R53" s="2421" t="s">
        <v>2390</v>
      </c>
    </row>
    <row r="54" spans="1:18" s="2057" customFormat="1" ht="18" customHeight="1" thickBot="1">
      <c r="A54" s="2559" t="s">
        <v>2467</v>
      </c>
      <c r="B54" s="2560" t="s">
        <v>2460</v>
      </c>
      <c r="C54" s="2561"/>
      <c r="D54" s="2523"/>
      <c r="E54" s="2520"/>
      <c r="F54" s="799"/>
      <c r="I54" s="20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4"/>
      <c r="O54" s="2420" t="s">
        <v>2391</v>
      </c>
      <c r="P54" s="2421" t="s">
        <v>2408</v>
      </c>
      <c r="Q54" s="2422">
        <f ca="1">Q48+Q49</f>
        <v>64650</v>
      </c>
      <c r="R54" s="2425" t="s">
        <v>2392</v>
      </c>
    </row>
    <row r="55" spans="1:18" s="2057" customFormat="1" ht="18" customHeight="1" thickTop="1" thickBot="1">
      <c r="A55" s="796">
        <v>2</v>
      </c>
      <c r="B55" s="797" t="s">
        <v>640</v>
      </c>
      <c r="C55" s="798">
        <f ca="1">C13</f>
        <v>13729</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2301</v>
      </c>
      <c r="C56" s="53">
        <f ca="1">C29</f>
        <v>13729</v>
      </c>
      <c r="D56" s="2661"/>
      <c r="E56" s="783"/>
      <c r="F56" s="808"/>
      <c r="I56" s="2401" t="s">
        <v>2357</v>
      </c>
      <c r="J56" s="3144" t="s">
        <v>1675</v>
      </c>
      <c r="K56" s="2381" t="s">
        <v>2362</v>
      </c>
      <c r="L56" s="2390">
        <f ca="1">IF(L48&lt;J51,"——",L48-J51)</f>
        <v>9.3299999999999983</v>
      </c>
      <c r="O56" s="2417" t="s">
        <v>2375</v>
      </c>
      <c r="P56" s="2418" t="s">
        <v>2376</v>
      </c>
      <c r="Q56" s="2419" t="s">
        <v>2377</v>
      </c>
      <c r="R56" s="2418" t="s">
        <v>2378</v>
      </c>
    </row>
    <row r="57" spans="1:18" s="2057" customFormat="1" ht="28.5" customHeight="1" thickBot="1">
      <c r="A57" s="796" t="s">
        <v>1745</v>
      </c>
      <c r="B57" s="797" t="s">
        <v>647</v>
      </c>
      <c r="C57" s="798">
        <f ca="1">ROUND(C58+C63+C64+C65,0)</f>
        <v>228</v>
      </c>
      <c r="D57" s="26" t="s">
        <v>1747</v>
      </c>
      <c r="E57" s="2662"/>
      <c r="F57" s="56"/>
      <c r="I57" s="2402" t="s">
        <v>2358</v>
      </c>
      <c r="J57" s="2404" t="str">
        <f ca="1">IF(OR(M47="住宅",J51&lt;L48,J56="是"),"——",J51-L48)</f>
        <v>——</v>
      </c>
      <c r="K57" s="2381" t="s">
        <v>2363</v>
      </c>
      <c r="L57" s="2390">
        <f ca="1">IF(L48&lt;J51,"——",IF(L55="比较法",L49,IF(L55="基准地价",L50,L51)))</f>
        <v>13396</v>
      </c>
      <c r="O57" s="2420" t="s">
        <v>2379</v>
      </c>
      <c r="P57" s="2421" t="s">
        <v>2409</v>
      </c>
      <c r="Q57" s="2422">
        <f ca="1">C40+J29</f>
        <v>64650</v>
      </c>
      <c r="R57" s="2421" t="s">
        <v>2380</v>
      </c>
    </row>
    <row r="58" spans="1:18" s="2057" customFormat="1" ht="28.5" customHeight="1" thickBot="1">
      <c r="A58" s="1646" t="s">
        <v>1821</v>
      </c>
      <c r="B58" s="783" t="s">
        <v>652</v>
      </c>
      <c r="C58" s="53">
        <f ca="1">ROUND(IF(项目基本情况!B11="自然人",C47*F58,C59+C60+C61),1)</f>
        <v>1.8</v>
      </c>
      <c r="D58" s="2660" t="s">
        <v>653</v>
      </c>
      <c r="E58" s="2661"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2661" t="s">
        <v>1753</v>
      </c>
      <c r="E59" s="783" t="s">
        <v>1744</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1755</v>
      </c>
      <c r="C60" s="53">
        <f ca="1">IF(D60="按租金收入计税",ROUND(C47*F60,1),IF(D60="按房产原值计税",ROUND(C56*F60*0.7,1),INDIRECT("'数据-取费表'!Aj"&amp;$G$1)))</f>
        <v>0</v>
      </c>
      <c r="D60" s="2661" t="str">
        <f>D33</f>
        <v>按租金收入计税</v>
      </c>
      <c r="E60" s="783" t="s">
        <v>1744</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1.8</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12320.89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205.9</v>
      </c>
      <c r="D63" s="2661" t="s">
        <v>1800</v>
      </c>
      <c r="E63" s="783" t="s">
        <v>1744</v>
      </c>
      <c r="F63" s="816">
        <f t="shared" ca="1" si="0"/>
        <v>1.4999999999999999E-2</v>
      </c>
      <c r="I63" s="2407" t="s">
        <v>2370</v>
      </c>
      <c r="J63" s="2408">
        <v>70</v>
      </c>
      <c r="K63" s="2408">
        <v>50</v>
      </c>
      <c r="L63" s="2408">
        <v>80</v>
      </c>
      <c r="M63" s="3124">
        <v>0.02</v>
      </c>
      <c r="O63" s="2420" t="s">
        <v>2391</v>
      </c>
      <c r="P63" s="2421" t="s">
        <v>2408</v>
      </c>
      <c r="Q63" s="2422">
        <f ca="1">Q57+Q58</f>
        <v>64650</v>
      </c>
      <c r="R63" s="2425" t="s">
        <v>2392</v>
      </c>
    </row>
    <row r="64" spans="1:18" s="2057" customFormat="1" ht="16.5" thickBot="1">
      <c r="A64" s="1646" t="s">
        <v>1887</v>
      </c>
      <c r="B64" s="783" t="s">
        <v>675</v>
      </c>
      <c r="C64" s="53">
        <f ca="1">ROUND(C55*F64,1)</f>
        <v>20.6</v>
      </c>
      <c r="D64" s="2661" t="s">
        <v>676</v>
      </c>
      <c r="E64" s="783" t="s">
        <v>1744</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2661" t="s">
        <v>679</v>
      </c>
      <c r="E65" s="783" t="s">
        <v>1744</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-228</v>
      </c>
      <c r="D66" s="2660" t="s">
        <v>696</v>
      </c>
      <c r="E66" s="2659"/>
      <c r="F66" s="819"/>
      <c r="K66" s="2084"/>
      <c r="O66" s="2420" t="s">
        <v>2379</v>
      </c>
      <c r="P66" s="2421" t="s">
        <v>2409</v>
      </c>
      <c r="Q66" s="2422">
        <f ca="1">C40+J29</f>
        <v>64650</v>
      </c>
      <c r="R66" s="2421" t="s">
        <v>2380</v>
      </c>
    </row>
    <row r="67" spans="1:18" s="2057" customFormat="1" ht="20.25" thickBot="1">
      <c r="A67" s="780" t="s">
        <v>1777</v>
      </c>
      <c r="B67" s="2230" t="s">
        <v>2300</v>
      </c>
      <c r="C67" s="782">
        <f ca="1">ROUND(C66*(1-((1+F69)/(1+F67))^F68)/(F67-F69),0)</f>
        <v>-4705</v>
      </c>
      <c r="D67" s="813" t="s">
        <v>700</v>
      </c>
      <c r="E67" s="783" t="s">
        <v>701</v>
      </c>
      <c r="F67" s="793">
        <f ca="1">F40</f>
        <v>4.4999999999999998E-2</v>
      </c>
      <c r="K67" s="2084"/>
      <c r="O67" s="2420" t="s">
        <v>2381</v>
      </c>
      <c r="P67" s="2421" t="s">
        <v>2412</v>
      </c>
      <c r="Q67" s="2422">
        <f ca="1">L60</f>
        <v>0</v>
      </c>
      <c r="R67" s="2425" t="s">
        <v>2414</v>
      </c>
    </row>
    <row r="68" spans="1:18" ht="21.75" thickBot="1">
      <c r="A68" s="785"/>
      <c r="B68" s="786"/>
      <c r="C68" s="787"/>
      <c r="D68" s="820" t="s">
        <v>1805</v>
      </c>
      <c r="E68" s="783" t="s">
        <v>1781</v>
      </c>
      <c r="F68" s="821">
        <f ca="1">F41</f>
        <v>60</v>
      </c>
      <c r="O68" s="2423" t="s">
        <v>2383</v>
      </c>
      <c r="P68" s="2421" t="s">
        <v>2413</v>
      </c>
      <c r="Q68" s="2427">
        <f ca="1">L51</f>
        <v>13396</v>
      </c>
      <c r="R68" s="2428" t="s">
        <v>2416</v>
      </c>
    </row>
    <row r="69" spans="1:18" ht="20.25" thickBot="1">
      <c r="A69" s="789"/>
      <c r="B69" s="790"/>
      <c r="C69" s="791"/>
      <c r="D69" s="815"/>
      <c r="E69" s="783" t="s">
        <v>706</v>
      </c>
      <c r="F69" s="2369"/>
      <c r="O69" s="2423" t="s">
        <v>2384</v>
      </c>
      <c r="P69" s="2429" t="s">
        <v>2398</v>
      </c>
      <c r="Q69" s="2422">
        <f ca="1">ROUND(Q70-Q71*Q72,0)</f>
        <v>574</v>
      </c>
      <c r="R69" s="2425"/>
    </row>
    <row r="70" spans="1:18" ht="15.75" thickBot="1">
      <c r="A70" s="822" t="s">
        <v>1784</v>
      </c>
      <c r="B70" s="823" t="s">
        <v>1807</v>
      </c>
      <c r="C70" s="824">
        <f ca="1">ROUND(C67*10000/F70,0)</f>
        <v>-1546</v>
      </c>
      <c r="D70" s="825" t="s">
        <v>1808</v>
      </c>
      <c r="E70" s="826" t="s">
        <v>1809</v>
      </c>
      <c r="F70" s="827">
        <f ca="1">F43</f>
        <v>30424.589999999997</v>
      </c>
      <c r="O70" s="2423" t="s">
        <v>2399</v>
      </c>
      <c r="P70" s="2429" t="s">
        <v>2400</v>
      </c>
      <c r="Q70" s="2422">
        <f ca="1">C39</f>
        <v>1672</v>
      </c>
      <c r="R70" s="2421" t="s">
        <v>2380</v>
      </c>
    </row>
    <row r="71" spans="1:18" ht="15.75" thickBot="1">
      <c r="O71" s="2423" t="s">
        <v>2401</v>
      </c>
      <c r="P71" s="2429" t="s">
        <v>2402</v>
      </c>
      <c r="Q71" s="2422">
        <f ca="1">C13</f>
        <v>13729</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64650</v>
      </c>
      <c r="R76" s="2425"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7" priority="7">
      <formula>$L$48&gt;$J$51</formula>
    </cfRule>
  </conditionalFormatting>
  <conditionalFormatting sqref="I55">
    <cfRule type="expression" dxfId="116" priority="8">
      <formula>$J$51&gt;$L$48</formula>
    </cfRule>
  </conditionalFormatting>
  <conditionalFormatting sqref="I60">
    <cfRule type="expression" dxfId="115" priority="6">
      <formula>$J$51&gt;$L$48</formula>
    </cfRule>
  </conditionalFormatting>
  <conditionalFormatting sqref="K60">
    <cfRule type="expression" dxfId="114" priority="5">
      <formula>$L$48&gt;$J$51</formula>
    </cfRule>
  </conditionalFormatting>
  <conditionalFormatting sqref="C11">
    <cfRule type="expression" dxfId="113" priority="4">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Normal="10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2988</v>
      </c>
      <c r="D1" s="3150" t="s">
        <v>3093</v>
      </c>
      <c r="E1" s="2409" t="s">
        <v>866</v>
      </c>
      <c r="F1" s="2410">
        <f ca="1">J53</f>
        <v>37.31</v>
      </c>
      <c r="G1" s="773">
        <f>MATCH(C1,'数据-取费表'!A6:A16,0)+5</f>
        <v>10</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1585</v>
      </c>
      <c r="C2" s="2055"/>
      <c r="D2" s="2053"/>
      <c r="E2" s="2054"/>
      <c r="F2" s="2054"/>
      <c r="G2" s="1587"/>
      <c r="H2" s="2055"/>
      <c r="I2" s="2055"/>
      <c r="J2" s="2055"/>
      <c r="K2" s="2056"/>
      <c r="L2" s="2055"/>
      <c r="M2" s="2055"/>
    </row>
    <row r="3" spans="1:33" ht="18" customHeight="1" thickBot="1">
      <c r="A3" s="832" t="s">
        <v>515</v>
      </c>
      <c r="B3" s="833">
        <f ca="1">IF(ISERROR(B2*10000/F43),0,ROUND(B2*10000/F43,0))</f>
        <v>14861</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92</v>
      </c>
      <c r="D5" s="2518" t="s">
        <v>2461</v>
      </c>
      <c r="E5" s="2512"/>
      <c r="F5" s="2513"/>
      <c r="G5" s="1589"/>
      <c r="H5" s="780">
        <v>1</v>
      </c>
      <c r="I5" s="781" t="s">
        <v>2458</v>
      </c>
      <c r="J5" s="55">
        <f ca="1">J6+J10+J12</f>
        <v>0</v>
      </c>
      <c r="K5" s="2518" t="s">
        <v>2461</v>
      </c>
      <c r="L5" s="2512"/>
      <c r="M5" s="2513"/>
    </row>
    <row r="6" spans="1:33" ht="18" customHeight="1">
      <c r="A6" s="1828" t="s">
        <v>1821</v>
      </c>
      <c r="B6" s="3499" t="s">
        <v>2463</v>
      </c>
      <c r="C6" s="782">
        <f ca="1">ROUND(F6*F8*F7*(1-F9)/10000,0)</f>
        <v>92</v>
      </c>
      <c r="D6" s="2519" t="s">
        <v>2462</v>
      </c>
      <c r="E6" s="783" t="s">
        <v>1735</v>
      </c>
      <c r="F6" s="784">
        <f ca="1">INDIRECT("'数据-取费表'!u"&amp;$G$1)</f>
        <v>2.5</v>
      </c>
      <c r="G6" s="1589"/>
      <c r="H6" s="2526" t="s">
        <v>1821</v>
      </c>
      <c r="I6" s="3499" t="s">
        <v>2463</v>
      </c>
      <c r="J6" s="782">
        <f ca="1">ROUND(M6*M8*M7*(1-M9)/10000,0)</f>
        <v>0</v>
      </c>
      <c r="K6" s="340" t="s">
        <v>632</v>
      </c>
      <c r="L6" s="783" t="s">
        <v>1735</v>
      </c>
      <c r="M6" s="784">
        <f ca="1">INDIRECT("'数据-取费表'!z"&amp;$G$1)</f>
        <v>0</v>
      </c>
    </row>
    <row r="7" spans="1:33" ht="18" customHeight="1">
      <c r="A7" s="2522"/>
      <c r="B7" s="3500"/>
      <c r="C7" s="787"/>
      <c r="D7" s="788"/>
      <c r="E7" s="783" t="s">
        <v>634</v>
      </c>
      <c r="F7" s="784">
        <f ca="1">IF(INDIRECT("'数据-取费表'!ah"&amp;$G$1)="",INDIRECT("'数据-取费表'!k"&amp;$G$1),INDIRECT("'数据-取费表'!ah"&amp;$G$1))</f>
        <v>1066.56</v>
      </c>
      <c r="G7" s="1589"/>
      <c r="H7" s="2511"/>
      <c r="I7" s="3500"/>
      <c r="J7" s="787"/>
      <c r="K7" s="788"/>
      <c r="L7" s="783" t="s">
        <v>634</v>
      </c>
      <c r="M7" s="784">
        <f ca="1">F7</f>
        <v>1066.56</v>
      </c>
    </row>
    <row r="8" spans="1:33" ht="18" customHeight="1">
      <c r="A8" s="2515"/>
      <c r="B8" s="3501"/>
      <c r="C8" s="787"/>
      <c r="D8" s="788"/>
      <c r="E8" s="783" t="s">
        <v>635</v>
      </c>
      <c r="F8" s="784">
        <f ca="1">INDIRECT("'数据-取费表'!ai"&amp;$G$1)</f>
        <v>365</v>
      </c>
      <c r="G8" s="1589"/>
      <c r="H8" s="2511"/>
      <c r="I8" s="3501"/>
      <c r="J8" s="787"/>
      <c r="K8" s="788"/>
      <c r="L8" s="783" t="s">
        <v>635</v>
      </c>
      <c r="M8" s="784">
        <f ca="1">INDIRECT("'数据-取费表'!ai"&amp;$G$1)</f>
        <v>365</v>
      </c>
    </row>
    <row r="9" spans="1:33" ht="18" customHeight="1">
      <c r="A9" s="785"/>
      <c r="B9" s="3502"/>
      <c r="C9" s="787"/>
      <c r="D9" s="788"/>
      <c r="E9" s="783" t="s">
        <v>636</v>
      </c>
      <c r="F9" s="793">
        <f ca="1">INDIRECT("'数据-取费表'!w"&amp;$G$1)</f>
        <v>0.05</v>
      </c>
      <c r="G9" s="1589"/>
      <c r="H9" s="2527"/>
      <c r="I9" s="3501"/>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2976</v>
      </c>
      <c r="E10" s="2520" t="s">
        <v>2464</v>
      </c>
      <c r="F10" s="2643" t="s">
        <v>3094</v>
      </c>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484</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328</v>
      </c>
      <c r="D14" s="3177" t="s">
        <v>1742</v>
      </c>
      <c r="E14" s="3176"/>
      <c r="F14" s="804"/>
      <c r="G14" s="1589"/>
      <c r="H14" s="1646" t="s">
        <v>1821</v>
      </c>
      <c r="I14" s="2229" t="s">
        <v>2825</v>
      </c>
      <c r="J14" s="53">
        <f ca="1">C29</f>
        <v>484</v>
      </c>
      <c r="K14" s="26"/>
      <c r="L14" s="800"/>
      <c r="M14" s="801"/>
    </row>
    <row r="15" spans="1:33" s="2062" customFormat="1" ht="18" customHeight="1" thickBot="1">
      <c r="A15" s="1645" t="s">
        <v>1829</v>
      </c>
      <c r="B15" s="783" t="s">
        <v>643</v>
      </c>
      <c r="C15" s="53">
        <f ca="1">ROUND(C14*F15,0)</f>
        <v>10</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48</v>
      </c>
      <c r="K16" s="1819" t="s">
        <v>648</v>
      </c>
      <c r="L16" s="3179"/>
      <c r="M16" s="2513"/>
    </row>
    <row r="17" spans="1:33" s="2062" customFormat="1" ht="18" customHeight="1">
      <c r="A17" s="1645" t="s">
        <v>1884</v>
      </c>
      <c r="B17" s="783" t="s">
        <v>649</v>
      </c>
      <c r="C17" s="53">
        <f ca="1">ROUND(F17*(F43+INDIRECT("'数据-取费表'!S"&amp;$G$1))/10000,0)</f>
        <v>23</v>
      </c>
      <c r="D17" s="783" t="s">
        <v>650</v>
      </c>
      <c r="E17" s="783" t="s">
        <v>651</v>
      </c>
      <c r="F17" s="56">
        <f>'数据-取费表'!B35</f>
        <v>180</v>
      </c>
      <c r="G17" s="1590"/>
      <c r="H17" s="1646" t="s">
        <v>1821</v>
      </c>
      <c r="I17" s="783" t="s">
        <v>652</v>
      </c>
      <c r="J17" s="53">
        <f ca="1">ROUND(IF(项目基本情况!B11="自然人",J5*M17,J18+J19+J20),0)</f>
        <v>41</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5</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366</v>
      </c>
      <c r="D19" s="260" t="s">
        <v>1754</v>
      </c>
      <c r="E19" s="3180"/>
      <c r="F19" s="56"/>
      <c r="G19" s="1589"/>
      <c r="H19" s="1645" t="s">
        <v>1829</v>
      </c>
      <c r="I19" s="783" t="s">
        <v>660</v>
      </c>
      <c r="J19" s="53">
        <f ca="1">IF(K19="按租金收入计税",ROUND(J5*M19,1),ROUND(C29*F33*0.7,1))</f>
        <v>40.700000000000003</v>
      </c>
      <c r="K19" s="810" t="s">
        <v>661</v>
      </c>
      <c r="L19" s="783" t="s">
        <v>645</v>
      </c>
      <c r="M19" s="808">
        <f>IF(K19="按租金收入计税",'数据-取费表'!B51,'数据-取费表'!B50)</f>
        <v>1.2E-2</v>
      </c>
    </row>
    <row r="20" spans="1:33" s="2062" customFormat="1" ht="18" customHeight="1">
      <c r="A20" s="1646" t="s">
        <v>1886</v>
      </c>
      <c r="B20" s="783" t="s">
        <v>662</v>
      </c>
      <c r="C20" s="53">
        <f ca="1">ROUND(C19*F20,0)</f>
        <v>7</v>
      </c>
      <c r="D20" s="811" t="s">
        <v>663</v>
      </c>
      <c r="E20" s="783" t="s">
        <v>645</v>
      </c>
      <c r="F20" s="808">
        <f>'数据-取费表'!B37</f>
        <v>0.02</v>
      </c>
      <c r="G20" s="1590"/>
      <c r="H20" s="1648" t="s">
        <v>1830</v>
      </c>
      <c r="I20" s="340" t="s">
        <v>664</v>
      </c>
      <c r="J20" s="54">
        <f ca="1">ROUND(M20*M21/10000,0)</f>
        <v>0</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431.62</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7</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18</v>
      </c>
      <c r="D23" s="2593" t="str">
        <f>IF(F23&lt;=1,"(建造成本+管理费用)×利率×(建设周期÷2)","(建造成本+管理费用)×((1+利率)^(建设周期÷2)-1)")</f>
        <v>(建造成本+管理费用)×((1+利率)^(建设周期÷2)-1)</v>
      </c>
      <c r="E23" s="783" t="s">
        <v>674</v>
      </c>
      <c r="F23" s="639">
        <f>'数据-取费表'!B20</f>
        <v>2</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1E-3</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-48</v>
      </c>
      <c r="K25" s="2570" t="s">
        <v>1774</v>
      </c>
      <c r="L25" s="2571"/>
      <c r="M25" s="2572"/>
    </row>
    <row r="26" spans="1:33" ht="18" customHeight="1">
      <c r="A26" s="1645" t="s">
        <v>1828</v>
      </c>
      <c r="B26" s="783" t="s">
        <v>2438</v>
      </c>
      <c r="C26" s="53">
        <f ca="1">ROUND((C19+C20)*F26,0)</f>
        <v>56</v>
      </c>
      <c r="D26" s="811" t="s">
        <v>697</v>
      </c>
      <c r="E26" s="794" t="s">
        <v>698</v>
      </c>
      <c r="F26" s="793">
        <f ca="1">INDIRECT("'数据-取费表'!q"&amp;$G$1)</f>
        <v>0.15</v>
      </c>
      <c r="G26" s="1589"/>
      <c r="H26" s="2524" t="s">
        <v>1777</v>
      </c>
      <c r="I26" s="2230" t="s">
        <v>2827</v>
      </c>
      <c r="J26" s="782">
        <f ca="1">IF(J5&lt;&gt;0,ROUND(J25*(1-((1+M28)/(1+M26))^M27)/(M26-M28),0),0)</f>
        <v>0</v>
      </c>
      <c r="K26" s="813" t="s">
        <v>700</v>
      </c>
      <c r="L26" s="783" t="s">
        <v>2419</v>
      </c>
      <c r="M26" s="793">
        <f ca="1">INDIRECT("'数据-取费表'!I"&amp;$G$1)</f>
        <v>5.5E-2</v>
      </c>
    </row>
    <row r="27" spans="1:33" ht="18" customHeight="1">
      <c r="A27" s="1645" t="s">
        <v>1829</v>
      </c>
      <c r="B27" s="783" t="s">
        <v>682</v>
      </c>
      <c r="C27" s="53">
        <f ca="1">ROUND(F21*F26,4)</f>
        <v>3.0000000000000001E-3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484</v>
      </c>
      <c r="D29" s="2567"/>
      <c r="E29" s="2568"/>
      <c r="F29" s="2569"/>
      <c r="G29" s="1590"/>
      <c r="H29" s="822" t="s">
        <v>1784</v>
      </c>
      <c r="I29" s="823" t="s">
        <v>1785</v>
      </c>
      <c r="J29" s="824">
        <f ca="1">ROUND(J26/(1+F40)^F41,0)</f>
        <v>0</v>
      </c>
      <c r="K29" s="825" t="s">
        <v>1786</v>
      </c>
      <c r="L29" s="826"/>
      <c r="M29" s="827">
        <f ca="1">INDIRECT("'数据-取费表'!k"&amp;$G$1)</f>
        <v>1066.56</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25</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15.9</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4.8</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11</v>
      </c>
      <c r="D33" s="3248"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0.1</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431.62</v>
      </c>
      <c r="G35" s="2060"/>
      <c r="H35" s="2063"/>
      <c r="I35" s="836" t="s">
        <v>1811</v>
      </c>
      <c r="J35" s="837">
        <f ca="1">ROUND(C13*J36,0)</f>
        <v>39</v>
      </c>
      <c r="K35" s="2076"/>
      <c r="L35" s="2075"/>
      <c r="M35" s="2075"/>
    </row>
    <row r="36" spans="1:18" ht="18" customHeight="1">
      <c r="A36" s="1646" t="s">
        <v>1886</v>
      </c>
      <c r="B36" s="783" t="s">
        <v>672</v>
      </c>
      <c r="C36" s="53">
        <f ca="1">ROUND(C29*F36,1)</f>
        <v>7.3</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0.7</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0.9</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67</v>
      </c>
      <c r="D39" s="2570" t="s">
        <v>1774</v>
      </c>
      <c r="E39" s="2571"/>
      <c r="F39" s="2572"/>
      <c r="G39" s="2060"/>
      <c r="H39" s="2075"/>
      <c r="I39" s="836" t="s">
        <v>1815</v>
      </c>
      <c r="J39" s="844">
        <f ca="1">ROUND(J35/C39,3)</f>
        <v>0.58199999999999996</v>
      </c>
      <c r="K39" s="2081"/>
      <c r="L39" s="2075"/>
      <c r="M39" s="2075"/>
    </row>
    <row r="40" spans="1:18" ht="18" customHeight="1">
      <c r="A40" s="780" t="s">
        <v>1777</v>
      </c>
      <c r="B40" s="2230" t="s">
        <v>2300</v>
      </c>
      <c r="C40" s="782">
        <f ca="1">ROUND(C39*(1-((1+F42)/(1+F40))^F41)/(F40-F42),0)</f>
        <v>1585</v>
      </c>
      <c r="D40" s="813" t="s">
        <v>700</v>
      </c>
      <c r="E40" s="783" t="s">
        <v>2419</v>
      </c>
      <c r="F40" s="793">
        <f ca="1">INDIRECT("'数据-取费表'!I"&amp;$G$1)</f>
        <v>5.5E-2</v>
      </c>
      <c r="G40" s="2060"/>
      <c r="H40" s="2060"/>
      <c r="I40" s="836" t="s">
        <v>1816</v>
      </c>
      <c r="J40" s="844">
        <f ca="1">1-J39</f>
        <v>0.41800000000000004</v>
      </c>
      <c r="K40" s="2081"/>
      <c r="L40" s="2060"/>
      <c r="M40" s="2060"/>
    </row>
    <row r="41" spans="1:18" ht="18" customHeight="1">
      <c r="A41" s="785"/>
      <c r="B41" s="786"/>
      <c r="C41" s="787"/>
      <c r="D41" s="820" t="s">
        <v>1805</v>
      </c>
      <c r="E41" s="783" t="s">
        <v>704</v>
      </c>
      <c r="F41" s="821">
        <f ca="1">IF(INDIRECT("'数据-取费表'!af"&amp;$G$1)=0,INDIRECT("'数据-取费表'!ae"&amp;$G$1),INDIRECT("'数据-取费表'!af"&amp;$G$1))</f>
        <v>37.31</v>
      </c>
      <c r="G41" s="2060"/>
      <c r="H41" s="1986"/>
      <c r="I41" s="842" t="s">
        <v>1817</v>
      </c>
      <c r="J41" s="845"/>
      <c r="K41" s="2080"/>
      <c r="L41" s="1986"/>
      <c r="M41" s="1986"/>
    </row>
    <row r="42" spans="1:18" ht="18" customHeight="1">
      <c r="A42" s="789"/>
      <c r="B42" s="790"/>
      <c r="C42" s="791"/>
      <c r="D42" s="815"/>
      <c r="E42" s="783" t="s">
        <v>706</v>
      </c>
      <c r="F42" s="793">
        <f ca="1">INDIRECT("'数据-取费表'!v"&amp;$G$1)</f>
        <v>0.03</v>
      </c>
      <c r="G42" s="2060"/>
      <c r="H42" s="1986"/>
      <c r="I42" s="846" t="s">
        <v>1818</v>
      </c>
      <c r="J42" s="844">
        <f ca="1">ROUND(C13/C40,3)</f>
        <v>0.30499999999999999</v>
      </c>
      <c r="K42" s="2080"/>
      <c r="L42" s="1986"/>
      <c r="M42" s="1986"/>
    </row>
    <row r="43" spans="1:18" ht="18" customHeight="1" thickBot="1">
      <c r="A43" s="822" t="s">
        <v>1784</v>
      </c>
      <c r="B43" s="823" t="s">
        <v>1807</v>
      </c>
      <c r="C43" s="824">
        <f ca="1">ROUND(C40*10000/F43,0)</f>
        <v>14861</v>
      </c>
      <c r="D43" s="825" t="s">
        <v>1808</v>
      </c>
      <c r="E43" s="826" t="s">
        <v>1809</v>
      </c>
      <c r="F43" s="827">
        <f ca="1">INDIRECT("'数据-取费表'!k"&amp;$G$1)</f>
        <v>1066.56</v>
      </c>
      <c r="G43" s="2060"/>
      <c r="H43" s="1986"/>
      <c r="I43" s="846" t="s">
        <v>1819</v>
      </c>
      <c r="J43" s="847">
        <f ca="1">1-J42</f>
        <v>0.69500000000000006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-1711</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40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39.31</v>
      </c>
      <c r="O48" s="2420" t="s">
        <v>2379</v>
      </c>
      <c r="P48" s="2421" t="s">
        <v>2405</v>
      </c>
      <c r="Q48" s="2422">
        <f ca="1">C40+J29</f>
        <v>1585</v>
      </c>
      <c r="R48" s="2421" t="s">
        <v>2380</v>
      </c>
    </row>
    <row r="49" spans="1:18" s="2057" customFormat="1" ht="18" customHeight="1" thickBot="1">
      <c r="A49" s="785"/>
      <c r="B49" s="786"/>
      <c r="C49" s="787"/>
      <c r="D49" s="788"/>
      <c r="E49" s="783" t="s">
        <v>634</v>
      </c>
      <c r="F49" s="784">
        <f ca="1">F7</f>
        <v>1066.56</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365</v>
      </c>
      <c r="G50" s="2093"/>
      <c r="H50" s="2091"/>
      <c r="I50" s="2381" t="s">
        <v>2346</v>
      </c>
      <c r="J50" s="2394">
        <f>SUMPRODUCT((I63:I65=J47)*(J62:L62=J48)*(J63:L65))</f>
        <v>60</v>
      </c>
      <c r="K50" s="2392" t="s">
        <v>2353</v>
      </c>
      <c r="L50" s="2393"/>
      <c r="O50" s="2423" t="s">
        <v>2383</v>
      </c>
      <c r="P50" s="2421" t="s">
        <v>2407</v>
      </c>
      <c r="Q50" s="2422">
        <f ca="1">C29</f>
        <v>484</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483</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37.31</v>
      </c>
      <c r="K53" s="3515" t="s">
        <v>2968</v>
      </c>
      <c r="L53" s="3516"/>
      <c r="O53" s="2423" t="s">
        <v>2388</v>
      </c>
      <c r="P53" s="2421" t="s">
        <v>2389</v>
      </c>
      <c r="Q53" s="2422">
        <f ca="1">J53</f>
        <v>37.31</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1585</v>
      </c>
      <c r="R54" s="2425" t="s">
        <v>2392</v>
      </c>
    </row>
    <row r="55" spans="1:18" s="2057" customFormat="1" ht="18" customHeight="1" thickTop="1" thickBot="1">
      <c r="A55" s="796">
        <v>2</v>
      </c>
      <c r="B55" s="797" t="s">
        <v>640</v>
      </c>
      <c r="C55" s="798">
        <f ca="1">C13</f>
        <v>484</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484</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8</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1585</v>
      </c>
      <c r="R57" s="2421" t="s">
        <v>2380</v>
      </c>
    </row>
    <row r="58" spans="1:18" s="2057" customFormat="1" ht="28.5" customHeight="1" thickBot="1">
      <c r="A58" s="1646" t="s">
        <v>1821</v>
      </c>
      <c r="B58" s="783" t="s">
        <v>652</v>
      </c>
      <c r="C58" s="53">
        <f ca="1">ROUND(IF(项目基本情况!B11="自然人",C47*F58,C59+C60+C61),1)</f>
        <v>0.1</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0.1</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431.62</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7.3</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1585</v>
      </c>
      <c r="R63" s="2425" t="s">
        <v>2392</v>
      </c>
    </row>
    <row r="64" spans="1:18" s="2057" customFormat="1" ht="16.5" thickBot="1">
      <c r="A64" s="1646" t="s">
        <v>1887</v>
      </c>
      <c r="B64" s="783" t="s">
        <v>675</v>
      </c>
      <c r="C64" s="53">
        <f ca="1">ROUND(C55*F64,1)</f>
        <v>0.7</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-8</v>
      </c>
      <c r="D66" s="3177" t="s">
        <v>696</v>
      </c>
      <c r="E66" s="3175"/>
      <c r="F66" s="819"/>
      <c r="K66" s="2084"/>
      <c r="O66" s="2420" t="s">
        <v>2379</v>
      </c>
      <c r="P66" s="2421" t="s">
        <v>2405</v>
      </c>
      <c r="Q66" s="2422">
        <f ca="1">C40+J29</f>
        <v>1585</v>
      </c>
      <c r="R66" s="2421" t="s">
        <v>2380</v>
      </c>
    </row>
    <row r="67" spans="1:18" s="2057" customFormat="1" ht="20.25" thickBot="1">
      <c r="A67" s="780" t="s">
        <v>1777</v>
      </c>
      <c r="B67" s="2230" t="s">
        <v>2300</v>
      </c>
      <c r="C67" s="782">
        <f ca="1">ROUND(C66*(1-((1+F69)/(1+F67))^F68)/(F67-F69),0)</f>
        <v>-126</v>
      </c>
      <c r="D67" s="813" t="s">
        <v>700</v>
      </c>
      <c r="E67" s="783" t="s">
        <v>701</v>
      </c>
      <c r="F67" s="793">
        <f ca="1">F40</f>
        <v>5.5E-2</v>
      </c>
      <c r="K67" s="2084"/>
      <c r="O67" s="2420" t="s">
        <v>2381</v>
      </c>
      <c r="P67" s="2421" t="s">
        <v>2412</v>
      </c>
      <c r="Q67" s="2422">
        <f ca="1">L60</f>
        <v>0</v>
      </c>
      <c r="R67" s="2425" t="s">
        <v>2414</v>
      </c>
    </row>
    <row r="68" spans="1:18" ht="21.75" thickBot="1">
      <c r="A68" s="785"/>
      <c r="B68" s="786"/>
      <c r="C68" s="787"/>
      <c r="D68" s="820" t="s">
        <v>1805</v>
      </c>
      <c r="E68" s="783" t="s">
        <v>704</v>
      </c>
      <c r="F68" s="821">
        <f ca="1">F41</f>
        <v>37.31</v>
      </c>
      <c r="O68" s="2423" t="s">
        <v>2383</v>
      </c>
      <c r="P68" s="2421" t="s">
        <v>2413</v>
      </c>
      <c r="Q68" s="2427">
        <f ca="1">L51</f>
        <v>483</v>
      </c>
      <c r="R68" s="2428" t="s">
        <v>2416</v>
      </c>
    </row>
    <row r="69" spans="1:18" ht="20.25" thickBot="1">
      <c r="A69" s="789"/>
      <c r="B69" s="790"/>
      <c r="C69" s="791"/>
      <c r="D69" s="815"/>
      <c r="E69" s="783" t="s">
        <v>706</v>
      </c>
      <c r="F69" s="2369"/>
      <c r="O69" s="2423" t="s">
        <v>2384</v>
      </c>
      <c r="P69" s="2429" t="s">
        <v>2398</v>
      </c>
      <c r="Q69" s="2422">
        <f ca="1">ROUND(Q70-Q71*Q72,0)</f>
        <v>28</v>
      </c>
      <c r="R69" s="2425"/>
    </row>
    <row r="70" spans="1:18" ht="15.75" thickBot="1">
      <c r="A70" s="822" t="s">
        <v>1784</v>
      </c>
      <c r="B70" s="823" t="s">
        <v>1807</v>
      </c>
      <c r="C70" s="824">
        <f ca="1">ROUND(C67*10000/F70,0)</f>
        <v>-1181</v>
      </c>
      <c r="D70" s="825" t="s">
        <v>1808</v>
      </c>
      <c r="E70" s="826" t="s">
        <v>1809</v>
      </c>
      <c r="F70" s="827">
        <f ca="1">F43</f>
        <v>1066.56</v>
      </c>
      <c r="O70" s="2423" t="s">
        <v>2399</v>
      </c>
      <c r="P70" s="2429" t="s">
        <v>2400</v>
      </c>
      <c r="Q70" s="2422">
        <f ca="1">C39</f>
        <v>67</v>
      </c>
      <c r="R70" s="2421" t="s">
        <v>2380</v>
      </c>
    </row>
    <row r="71" spans="1:18" ht="15.75" thickBot="1">
      <c r="O71" s="2423" t="s">
        <v>2401</v>
      </c>
      <c r="P71" s="2429" t="s">
        <v>2402</v>
      </c>
      <c r="Q71" s="2422">
        <f ca="1">C13</f>
        <v>484</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1585</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0" priority="6">
      <formula>$L$48&gt;$J$51</formula>
    </cfRule>
  </conditionalFormatting>
  <conditionalFormatting sqref="I55">
    <cfRule type="expression" dxfId="109" priority="7">
      <formula>$J$51&gt;$L$48</formula>
    </cfRule>
  </conditionalFormatting>
  <conditionalFormatting sqref="I60">
    <cfRule type="expression" dxfId="108" priority="5">
      <formula>$J$51&gt;$L$48</formula>
    </cfRule>
  </conditionalFormatting>
  <conditionalFormatting sqref="K60">
    <cfRule type="expression" dxfId="107" priority="4">
      <formula>$L$48&gt;$J$51</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35</v>
      </c>
      <c r="D1" s="3150" t="s">
        <v>3093</v>
      </c>
      <c r="E1" s="2409" t="s">
        <v>866</v>
      </c>
      <c r="F1" s="2410">
        <f ca="1">J53</f>
        <v>47.32</v>
      </c>
      <c r="G1" s="773">
        <f>MATCH(C1,'数据-取费表'!A6:A16,0)+5</f>
        <v>9</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10558</v>
      </c>
      <c r="C2" s="2055"/>
      <c r="D2" s="2053"/>
      <c r="E2" s="2054"/>
      <c r="F2" s="2054"/>
      <c r="G2" s="1587"/>
      <c r="H2" s="2055"/>
      <c r="I2" s="2055"/>
      <c r="J2" s="2055"/>
      <c r="K2" s="2056"/>
      <c r="L2" s="2055"/>
      <c r="M2" s="2055"/>
    </row>
    <row r="3" spans="1:33" ht="18" customHeight="1" thickBot="1">
      <c r="A3" s="832" t="s">
        <v>515</v>
      </c>
      <c r="B3" s="833">
        <f ca="1">IF(ISERROR(B2*10000/F43),0,ROUND(B2*10000/F43,0))</f>
        <v>3908</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703</v>
      </c>
      <c r="D5" s="2518" t="s">
        <v>2461</v>
      </c>
      <c r="E5" s="2512"/>
      <c r="F5" s="2513"/>
      <c r="G5" s="1589"/>
      <c r="H5" s="780">
        <v>1</v>
      </c>
      <c r="I5" s="781" t="s">
        <v>2458</v>
      </c>
      <c r="J5" s="55">
        <f ca="1">J6+J10+J12</f>
        <v>0</v>
      </c>
      <c r="K5" s="2518" t="s">
        <v>2461</v>
      </c>
      <c r="L5" s="2512"/>
      <c r="M5" s="2513"/>
    </row>
    <row r="6" spans="1:33" ht="18" customHeight="1">
      <c r="A6" s="1828" t="s">
        <v>1821</v>
      </c>
      <c r="B6" s="3499" t="s">
        <v>2463</v>
      </c>
      <c r="C6" s="782">
        <f ca="1">ROUND(F6*F8*F7*(1-F9)/10000,0)</f>
        <v>703</v>
      </c>
      <c r="D6" s="2519" t="s">
        <v>2462</v>
      </c>
      <c r="E6" s="783" t="s">
        <v>1735</v>
      </c>
      <c r="F6" s="784">
        <f ca="1">INDIRECT("'数据-取费表'!u"&amp;$G$1)</f>
        <v>800</v>
      </c>
      <c r="G6" s="1589"/>
      <c r="H6" s="2526" t="s">
        <v>1821</v>
      </c>
      <c r="I6" s="3499" t="s">
        <v>2463</v>
      </c>
      <c r="J6" s="782">
        <f ca="1">ROUND(M6*M8*M7*(1-M9)/10000,0)</f>
        <v>0</v>
      </c>
      <c r="K6" s="340" t="s">
        <v>632</v>
      </c>
      <c r="L6" s="783" t="s">
        <v>1735</v>
      </c>
      <c r="M6" s="784">
        <f ca="1">INDIRECT("'数据-取费表'!z"&amp;$G$1)</f>
        <v>0</v>
      </c>
    </row>
    <row r="7" spans="1:33" ht="18" customHeight="1">
      <c r="A7" s="2522"/>
      <c r="B7" s="3500"/>
      <c r="C7" s="787"/>
      <c r="D7" s="788"/>
      <c r="E7" s="783" t="s">
        <v>634</v>
      </c>
      <c r="F7" s="784">
        <f ca="1">IF(INDIRECT("'数据-取费表'!ah"&amp;$G$1)="",INDIRECT("'数据-取费表'!k"&amp;$G$1),INDIRECT("'数据-取费表'!ah"&amp;$G$1))</f>
        <v>771</v>
      </c>
      <c r="G7" s="1589"/>
      <c r="H7" s="2511"/>
      <c r="I7" s="3500"/>
      <c r="J7" s="787"/>
      <c r="K7" s="788"/>
      <c r="L7" s="783" t="s">
        <v>634</v>
      </c>
      <c r="M7" s="784">
        <f ca="1">F7</f>
        <v>771</v>
      </c>
    </row>
    <row r="8" spans="1:33" ht="18" customHeight="1">
      <c r="A8" s="2515"/>
      <c r="B8" s="3501"/>
      <c r="C8" s="787"/>
      <c r="D8" s="788"/>
      <c r="E8" s="783" t="s">
        <v>635</v>
      </c>
      <c r="F8" s="784">
        <f ca="1">INDIRECT("'数据-取费表'!ai"&amp;$G$1)</f>
        <v>12</v>
      </c>
      <c r="G8" s="1589"/>
      <c r="H8" s="2511"/>
      <c r="I8" s="3501"/>
      <c r="J8" s="787"/>
      <c r="K8" s="788"/>
      <c r="L8" s="783" t="s">
        <v>635</v>
      </c>
      <c r="M8" s="784">
        <f ca="1">INDIRECT("'数据-取费表'!ai"&amp;$G$1)</f>
        <v>12</v>
      </c>
    </row>
    <row r="9" spans="1:33" ht="18" customHeight="1">
      <c r="A9" s="785"/>
      <c r="B9" s="3502"/>
      <c r="C9" s="787"/>
      <c r="D9" s="788"/>
      <c r="E9" s="783" t="s">
        <v>636</v>
      </c>
      <c r="F9" s="793">
        <f ca="1">INDIRECT("'数据-取费表'!w"&amp;$G$1)</f>
        <v>0.05</v>
      </c>
      <c r="G9" s="1589"/>
      <c r="H9" s="2527"/>
      <c r="I9" s="3501"/>
      <c r="J9" s="787"/>
      <c r="K9" s="788"/>
      <c r="L9" s="794" t="s">
        <v>636</v>
      </c>
      <c r="M9" s="795">
        <f ca="1">INDIRECT("'数据-取费表'!ab"&amp;$G$1)</f>
        <v>0</v>
      </c>
    </row>
    <row r="10" spans="1:33" ht="18" customHeight="1">
      <c r="A10" s="1828" t="s">
        <v>1822</v>
      </c>
      <c r="B10" s="2516" t="s">
        <v>2459</v>
      </c>
      <c r="C10" s="798">
        <f ca="1">ROUND(IF(F10="押一",C6/12*F11,IF(F10="押二",C6/12*2*F11,IF(F10="押三",C6/12*3*F11,C11*F11))),0)</f>
        <v>0</v>
      </c>
      <c r="D10" s="2523" t="s">
        <v>2976</v>
      </c>
      <c r="E10" s="2520" t="s">
        <v>2464</v>
      </c>
      <c r="F10" s="2643"/>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11224</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8328</v>
      </c>
      <c r="D14" s="3177" t="s">
        <v>1742</v>
      </c>
      <c r="E14" s="3176"/>
      <c r="F14" s="804"/>
      <c r="G14" s="1589"/>
      <c r="H14" s="1646" t="s">
        <v>1821</v>
      </c>
      <c r="I14" s="2229" t="s">
        <v>2825</v>
      </c>
      <c r="J14" s="53">
        <f ca="1">C29</f>
        <v>11224</v>
      </c>
      <c r="K14" s="26"/>
      <c r="L14" s="800"/>
      <c r="M14" s="801"/>
    </row>
    <row r="15" spans="1:33" s="2062" customFormat="1" ht="18" customHeight="1" thickBot="1">
      <c r="A15" s="1645" t="s">
        <v>1829</v>
      </c>
      <c r="B15" s="783" t="s">
        <v>643</v>
      </c>
      <c r="C15" s="53">
        <f ca="1">ROUND(C14*F15,0)</f>
        <v>250</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1113</v>
      </c>
      <c r="K16" s="1819" t="s">
        <v>648</v>
      </c>
      <c r="L16" s="3179"/>
      <c r="M16" s="2513"/>
    </row>
    <row r="17" spans="1:33" s="2062" customFormat="1" ht="18" customHeight="1">
      <c r="A17" s="1645" t="s">
        <v>1884</v>
      </c>
      <c r="B17" s="783" t="s">
        <v>649</v>
      </c>
      <c r="C17" s="53">
        <f ca="1">ROUND(F17*(F43+INDIRECT("'数据-取费表'!S"&amp;$G$1))/10000,0)</f>
        <v>577</v>
      </c>
      <c r="D17" s="783" t="s">
        <v>650</v>
      </c>
      <c r="E17" s="783" t="s">
        <v>651</v>
      </c>
      <c r="F17" s="56">
        <f>'数据-取费表'!B35</f>
        <v>180</v>
      </c>
      <c r="G17" s="1590"/>
      <c r="H17" s="1646" t="s">
        <v>1821</v>
      </c>
      <c r="I17" s="783" t="s">
        <v>652</v>
      </c>
      <c r="J17" s="53">
        <f ca="1">ROUND(IF(项目基本情况!B11="自然人",J5*M17,J18+J19+J20),0)</f>
        <v>945</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125</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9280</v>
      </c>
      <c r="D19" s="260" t="s">
        <v>1754</v>
      </c>
      <c r="E19" s="3180"/>
      <c r="F19" s="56"/>
      <c r="G19" s="1589"/>
      <c r="H19" s="1645" t="s">
        <v>1829</v>
      </c>
      <c r="I19" s="783" t="s">
        <v>660</v>
      </c>
      <c r="J19" s="53">
        <f ca="1">IF(K19="按租金收入计税",ROUND(J5*M19,1),ROUND(C29*F33*0.7,1))</f>
        <v>942.8</v>
      </c>
      <c r="K19" s="810" t="s">
        <v>661</v>
      </c>
      <c r="L19" s="783" t="s">
        <v>645</v>
      </c>
      <c r="M19" s="808">
        <f>IF(K19="按租金收入计税",'数据-取费表'!B51,'数据-取费表'!B50)</f>
        <v>1.2E-2</v>
      </c>
    </row>
    <row r="20" spans="1:33" s="2062" customFormat="1" ht="18" customHeight="1">
      <c r="A20" s="1646" t="s">
        <v>1886</v>
      </c>
      <c r="B20" s="783" t="s">
        <v>662</v>
      </c>
      <c r="C20" s="53">
        <f ca="1">ROUND(C19*F20,0)</f>
        <v>186</v>
      </c>
      <c r="D20" s="811" t="s">
        <v>663</v>
      </c>
      <c r="E20" s="783" t="s">
        <v>645</v>
      </c>
      <c r="F20" s="808">
        <f>'数据-取费表'!B37</f>
        <v>0.02</v>
      </c>
      <c r="G20" s="1590"/>
      <c r="H20" s="1648" t="s">
        <v>1830</v>
      </c>
      <c r="I20" s="340" t="s">
        <v>664</v>
      </c>
      <c r="J20" s="54">
        <f ca="1">ROUND(M20*M21/10000,0)</f>
        <v>2</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10932.09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168</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450</v>
      </c>
      <c r="D23" s="2593" t="str">
        <f>IF(F23&lt;=1,"(建造成本+管理费用)×利率×(建设周期÷2)","(建造成本+管理费用)×((1+利率)^(建设周期÷2)-1)")</f>
        <v>(建造成本+管理费用)×((1+利率)^(建设周期÷2)-1)</v>
      </c>
      <c r="E23" s="783" t="s">
        <v>674</v>
      </c>
      <c r="F23" s="639">
        <f>'数据-取费表'!B20</f>
        <v>2</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1E-3</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-1113</v>
      </c>
      <c r="K25" s="2570" t="s">
        <v>1774</v>
      </c>
      <c r="L25" s="2571"/>
      <c r="M25" s="2572"/>
    </row>
    <row r="26" spans="1:33" ht="18" customHeight="1">
      <c r="A26" s="1645" t="s">
        <v>1828</v>
      </c>
      <c r="B26" s="783" t="s">
        <v>2438</v>
      </c>
      <c r="C26" s="53">
        <f ca="1">ROUND((C19+C20)*F26,0)</f>
        <v>473</v>
      </c>
      <c r="D26" s="811" t="s">
        <v>697</v>
      </c>
      <c r="E26" s="794" t="s">
        <v>698</v>
      </c>
      <c r="F26" s="793">
        <f ca="1">INDIRECT("'数据-取费表'!q"&amp;$G$1)</f>
        <v>0.05</v>
      </c>
      <c r="G26" s="1589"/>
      <c r="H26" s="2524" t="s">
        <v>1777</v>
      </c>
      <c r="I26" s="2230" t="s">
        <v>2827</v>
      </c>
      <c r="J26" s="782">
        <f ca="1">IF(J5&lt;&gt;0,ROUND(J25*(1-((1+M28)/(1+M26))^M27)/(M26-M28),0),0)</f>
        <v>0</v>
      </c>
      <c r="K26" s="813" t="s">
        <v>700</v>
      </c>
      <c r="L26" s="783" t="s">
        <v>2419</v>
      </c>
      <c r="M26" s="793">
        <f ca="1">INDIRECT("'数据-取费表'!I"&amp;$G$1)</f>
        <v>0.05</v>
      </c>
    </row>
    <row r="27" spans="1:33" ht="18" customHeight="1">
      <c r="A27" s="1645" t="s">
        <v>1829</v>
      </c>
      <c r="B27" s="783" t="s">
        <v>682</v>
      </c>
      <c r="C27" s="53">
        <f ca="1">ROUND(F21*F26,4)</f>
        <v>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11224</v>
      </c>
      <c r="D29" s="2567"/>
      <c r="E29" s="2568"/>
      <c r="F29" s="2569"/>
      <c r="G29" s="1590"/>
      <c r="H29" s="822" t="s">
        <v>1784</v>
      </c>
      <c r="I29" s="823" t="s">
        <v>1785</v>
      </c>
      <c r="J29" s="824">
        <f ca="1">ROUND(J26/(1+F40)^F41,0)</f>
        <v>0</v>
      </c>
      <c r="K29" s="825" t="s">
        <v>1786</v>
      </c>
      <c r="L29" s="826"/>
      <c r="M29" s="827">
        <f ca="1">INDIRECT("'数据-取费表'!k"&amp;$G$1)</f>
        <v>27013.690000000002</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315</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122.8</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36.799999999999997</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84.4</v>
      </c>
      <c r="D33" s="3248"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1.6</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10932.09</v>
      </c>
      <c r="G35" s="2060"/>
      <c r="H35" s="2063"/>
      <c r="I35" s="836" t="s">
        <v>1811</v>
      </c>
      <c r="J35" s="837">
        <f ca="1">ROUND(C13*J36,0)</f>
        <v>898</v>
      </c>
      <c r="K35" s="2076"/>
      <c r="L35" s="2075"/>
      <c r="M35" s="2075"/>
    </row>
    <row r="36" spans="1:18" ht="18" customHeight="1">
      <c r="A36" s="1646" t="s">
        <v>1886</v>
      </c>
      <c r="B36" s="783" t="s">
        <v>672</v>
      </c>
      <c r="C36" s="53">
        <f ca="1">ROUND(C29*F36,1)</f>
        <v>168.4</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16.8</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7</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388</v>
      </c>
      <c r="D39" s="2570" t="s">
        <v>1774</v>
      </c>
      <c r="E39" s="2571"/>
      <c r="F39" s="2572"/>
      <c r="G39" s="2060"/>
      <c r="H39" s="2075"/>
      <c r="I39" s="836" t="s">
        <v>1815</v>
      </c>
      <c r="J39" s="844">
        <f ca="1">ROUND(J35/C39,3)</f>
        <v>2.3140000000000001</v>
      </c>
      <c r="K39" s="2081"/>
      <c r="L39" s="2075"/>
      <c r="M39" s="2075"/>
    </row>
    <row r="40" spans="1:18" ht="18" customHeight="1">
      <c r="A40" s="780" t="s">
        <v>1777</v>
      </c>
      <c r="B40" s="2230" t="s">
        <v>2300</v>
      </c>
      <c r="C40" s="782">
        <f ca="1">ROUND(C39*(1-((1+F42)/(1+F40))^F41)/(F40-F42),0)</f>
        <v>10558</v>
      </c>
      <c r="D40" s="813" t="s">
        <v>700</v>
      </c>
      <c r="E40" s="783" t="s">
        <v>2419</v>
      </c>
      <c r="F40" s="793">
        <f ca="1">INDIRECT("'数据-取费表'!I"&amp;$G$1)</f>
        <v>0.05</v>
      </c>
      <c r="G40" s="2060"/>
      <c r="H40" s="2060"/>
      <c r="I40" s="836" t="s">
        <v>1816</v>
      </c>
      <c r="J40" s="844">
        <f ca="1">1-J39</f>
        <v>-1.3140000000000001</v>
      </c>
      <c r="K40" s="2081"/>
      <c r="L40" s="2060"/>
      <c r="M40" s="2060"/>
    </row>
    <row r="41" spans="1:18" ht="18" customHeight="1">
      <c r="A41" s="785"/>
      <c r="B41" s="786"/>
      <c r="C41" s="787"/>
      <c r="D41" s="820" t="s">
        <v>1805</v>
      </c>
      <c r="E41" s="783" t="s">
        <v>704</v>
      </c>
      <c r="F41" s="821">
        <f ca="1">IF(INDIRECT("'数据-取费表'!af"&amp;$G$1)=0,INDIRECT("'数据-取费表'!ae"&amp;$G$1),INDIRECT("'数据-取费表'!af"&amp;$G$1))</f>
        <v>47.32</v>
      </c>
      <c r="G41" s="2060"/>
      <c r="H41" s="1986"/>
      <c r="I41" s="842" t="s">
        <v>1817</v>
      </c>
      <c r="J41" s="845"/>
      <c r="K41" s="2080"/>
      <c r="L41" s="1986"/>
      <c r="M41" s="1986"/>
    </row>
    <row r="42" spans="1:18" ht="18" customHeight="1">
      <c r="A42" s="789"/>
      <c r="B42" s="790"/>
      <c r="C42" s="791"/>
      <c r="D42" s="815"/>
      <c r="E42" s="783" t="s">
        <v>706</v>
      </c>
      <c r="F42" s="793">
        <f ca="1">INDIRECT("'数据-取费表'!v"&amp;$G$1)</f>
        <v>2.5000000000000001E-2</v>
      </c>
      <c r="G42" s="2060"/>
      <c r="H42" s="1986"/>
      <c r="I42" s="846" t="s">
        <v>1818</v>
      </c>
      <c r="J42" s="844">
        <f ca="1">ROUND(C13/C40,3)</f>
        <v>1.0629999999999999</v>
      </c>
      <c r="K42" s="2080"/>
      <c r="L42" s="1986"/>
      <c r="M42" s="1986"/>
    </row>
    <row r="43" spans="1:18" ht="18" customHeight="1" thickBot="1">
      <c r="A43" s="822" t="s">
        <v>1784</v>
      </c>
      <c r="B43" s="823" t="s">
        <v>1807</v>
      </c>
      <c r="C43" s="824">
        <f ca="1">ROUND(C40*10000/F43,0)</f>
        <v>3908</v>
      </c>
      <c r="D43" s="825" t="s">
        <v>1808</v>
      </c>
      <c r="E43" s="826" t="s">
        <v>1809</v>
      </c>
      <c r="F43" s="827">
        <f ca="1">INDIRECT("'数据-取费表'!k"&amp;$G$1)</f>
        <v>27013.690000000002</v>
      </c>
      <c r="G43" s="2060"/>
      <c r="H43" s="1986"/>
      <c r="I43" s="846" t="s">
        <v>1819</v>
      </c>
      <c r="J43" s="847">
        <f ca="1">1-J42</f>
        <v>-6.2999999999999945E-2</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f ca="1">C40/771</f>
        <v>13.693904020752269</v>
      </c>
      <c r="E45" s="2083"/>
      <c r="F45" s="2083"/>
      <c r="K45" s="2084"/>
      <c r="Q45" s="2095"/>
    </row>
    <row r="46" spans="1:18" s="2057" customFormat="1" ht="18" customHeight="1" thickBot="1">
      <c r="A46" s="2228" t="s">
        <v>2294</v>
      </c>
      <c r="B46" s="2083"/>
      <c r="C46" s="2596">
        <f ca="1">C67-C40</f>
        <v>-13926</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49.32</v>
      </c>
      <c r="O48" s="2420" t="s">
        <v>2379</v>
      </c>
      <c r="P48" s="2421" t="s">
        <v>2405</v>
      </c>
      <c r="Q48" s="2422">
        <f ca="1">C40+J29</f>
        <v>10558</v>
      </c>
      <c r="R48" s="2421" t="s">
        <v>2380</v>
      </c>
    </row>
    <row r="49" spans="1:18" s="2057" customFormat="1" ht="18" customHeight="1" thickBot="1">
      <c r="A49" s="785"/>
      <c r="B49" s="786"/>
      <c r="C49" s="787"/>
      <c r="D49" s="788"/>
      <c r="E49" s="783" t="s">
        <v>634</v>
      </c>
      <c r="F49" s="784">
        <f ca="1">F7</f>
        <v>771</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12</v>
      </c>
      <c r="G50" s="2093"/>
      <c r="H50" s="2091"/>
      <c r="I50" s="2381" t="s">
        <v>2346</v>
      </c>
      <c r="J50" s="2394">
        <f>SUMPRODUCT((I63:I65=J47)*(J62:L62=J48)*(J63:L65))</f>
        <v>60</v>
      </c>
      <c r="K50" s="2392" t="s">
        <v>2353</v>
      </c>
      <c r="L50" s="2393"/>
      <c r="O50" s="2423" t="s">
        <v>2383</v>
      </c>
      <c r="P50" s="2421" t="s">
        <v>2407</v>
      </c>
      <c r="Q50" s="2422">
        <f ca="1">C29</f>
        <v>11224</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-10039</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47.32</v>
      </c>
      <c r="K53" s="3515" t="s">
        <v>2968</v>
      </c>
      <c r="L53" s="3516"/>
      <c r="O53" s="2423" t="s">
        <v>2388</v>
      </c>
      <c r="P53" s="2421" t="s">
        <v>2389</v>
      </c>
      <c r="Q53" s="2422">
        <f ca="1">J53</f>
        <v>47.32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10558</v>
      </c>
      <c r="R54" s="2425" t="s">
        <v>2392</v>
      </c>
    </row>
    <row r="55" spans="1:18" s="2057" customFormat="1" ht="18" customHeight="1" thickTop="1" thickBot="1">
      <c r="A55" s="796">
        <v>2</v>
      </c>
      <c r="B55" s="797" t="s">
        <v>640</v>
      </c>
      <c r="C55" s="798">
        <f ca="1">C13</f>
        <v>11224</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11224</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187</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10558</v>
      </c>
      <c r="R57" s="2421" t="s">
        <v>2380</v>
      </c>
    </row>
    <row r="58" spans="1:18" s="2057" customFormat="1" ht="28.5" customHeight="1" thickBot="1">
      <c r="A58" s="1646" t="s">
        <v>1821</v>
      </c>
      <c r="B58" s="783" t="s">
        <v>652</v>
      </c>
      <c r="C58" s="53">
        <f ca="1">ROUND(IF(项目基本情况!B11="自然人",C47*F58,C59+C60+C61),1)</f>
        <v>1.6</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1.6</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10932.09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168.4</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10558</v>
      </c>
      <c r="R63" s="2425" t="s">
        <v>2392</v>
      </c>
    </row>
    <row r="64" spans="1:18" s="2057" customFormat="1" ht="16.5" thickBot="1">
      <c r="A64" s="1646" t="s">
        <v>1887</v>
      </c>
      <c r="B64" s="783" t="s">
        <v>675</v>
      </c>
      <c r="C64" s="53">
        <f ca="1">ROUND(C55*F64,1)</f>
        <v>16.8</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-187</v>
      </c>
      <c r="D66" s="3177" t="s">
        <v>696</v>
      </c>
      <c r="E66" s="3175"/>
      <c r="F66" s="819"/>
      <c r="K66" s="2084"/>
      <c r="O66" s="2420" t="s">
        <v>2379</v>
      </c>
      <c r="P66" s="2421" t="s">
        <v>2405</v>
      </c>
      <c r="Q66" s="2422">
        <f ca="1">C40+J29</f>
        <v>10558</v>
      </c>
      <c r="R66" s="2421" t="s">
        <v>2380</v>
      </c>
    </row>
    <row r="67" spans="1:18" s="2057" customFormat="1" ht="20.25" thickBot="1">
      <c r="A67" s="780" t="s">
        <v>1777</v>
      </c>
      <c r="B67" s="2230" t="s">
        <v>2300</v>
      </c>
      <c r="C67" s="782">
        <f ca="1">ROUND(C66*(1-((1+F69)/(1+F67))^F68)/(F67-F69),0)</f>
        <v>-3368</v>
      </c>
      <c r="D67" s="813" t="s">
        <v>700</v>
      </c>
      <c r="E67" s="783" t="s">
        <v>701</v>
      </c>
      <c r="F67" s="793">
        <f ca="1">F40</f>
        <v>0.05</v>
      </c>
      <c r="K67" s="2084"/>
      <c r="O67" s="2420" t="s">
        <v>2381</v>
      </c>
      <c r="P67" s="2421" t="s">
        <v>2412</v>
      </c>
      <c r="Q67" s="2422">
        <f ca="1">L60</f>
        <v>0</v>
      </c>
      <c r="R67" s="2425" t="s">
        <v>2414</v>
      </c>
    </row>
    <row r="68" spans="1:18" ht="21.75" thickBot="1">
      <c r="A68" s="785"/>
      <c r="B68" s="786"/>
      <c r="C68" s="787"/>
      <c r="D68" s="820" t="s">
        <v>1805</v>
      </c>
      <c r="E68" s="783" t="s">
        <v>704</v>
      </c>
      <c r="F68" s="821">
        <f ca="1">F41</f>
        <v>47.32</v>
      </c>
      <c r="O68" s="2423" t="s">
        <v>2383</v>
      </c>
      <c r="P68" s="2421" t="s">
        <v>2413</v>
      </c>
      <c r="Q68" s="2427">
        <f ca="1">L51</f>
        <v>-10039</v>
      </c>
      <c r="R68" s="2428" t="s">
        <v>2416</v>
      </c>
    </row>
    <row r="69" spans="1:18" ht="20.25" thickBot="1">
      <c r="A69" s="789"/>
      <c r="B69" s="790"/>
      <c r="C69" s="791"/>
      <c r="D69" s="815"/>
      <c r="E69" s="783" t="s">
        <v>706</v>
      </c>
      <c r="F69" s="2369"/>
      <c r="O69" s="2423" t="s">
        <v>2384</v>
      </c>
      <c r="P69" s="2429" t="s">
        <v>2398</v>
      </c>
      <c r="Q69" s="2422">
        <f ca="1">ROUND(Q70-Q71*Q72,0)</f>
        <v>-510</v>
      </c>
      <c r="R69" s="2425"/>
    </row>
    <row r="70" spans="1:18" ht="15.75" thickBot="1">
      <c r="A70" s="822" t="s">
        <v>1784</v>
      </c>
      <c r="B70" s="823" t="s">
        <v>1807</v>
      </c>
      <c r="C70" s="824">
        <f ca="1">ROUND(C67*10000/F70,0)</f>
        <v>-1247</v>
      </c>
      <c r="D70" s="825" t="s">
        <v>1808</v>
      </c>
      <c r="E70" s="826" t="s">
        <v>1809</v>
      </c>
      <c r="F70" s="827">
        <f ca="1">F43</f>
        <v>27013.690000000002</v>
      </c>
      <c r="O70" s="2423" t="s">
        <v>2399</v>
      </c>
      <c r="P70" s="2429" t="s">
        <v>2400</v>
      </c>
      <c r="Q70" s="2422">
        <f ca="1">C39</f>
        <v>388</v>
      </c>
      <c r="R70" s="2421" t="s">
        <v>2380</v>
      </c>
    </row>
    <row r="71" spans="1:18" ht="15.75" thickBot="1">
      <c r="O71" s="2423" t="s">
        <v>2401</v>
      </c>
      <c r="P71" s="2429" t="s">
        <v>2402</v>
      </c>
      <c r="Q71" s="2422">
        <f ca="1">C13</f>
        <v>11224</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10558</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D33" sqref="D33"/>
    </sheetView>
  </sheetViews>
  <sheetFormatPr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1722</v>
      </c>
      <c r="B1" s="737"/>
      <c r="C1" s="772" t="s">
        <v>2989</v>
      </c>
      <c r="D1" s="3150" t="s">
        <v>3093</v>
      </c>
      <c r="E1" s="2409" t="s">
        <v>866</v>
      </c>
      <c r="F1" s="2410">
        <f ca="1">J53</f>
        <v>47.32</v>
      </c>
      <c r="G1" s="773">
        <f>MATCH(C1,'数据-取费表'!A6:A16,0)+5</f>
        <v>8</v>
      </c>
      <c r="H1" s="2048"/>
      <c r="I1" s="2049"/>
      <c r="J1" s="2049"/>
      <c r="K1" s="2050"/>
      <c r="L1" s="2049"/>
      <c r="M1" s="2049"/>
      <c r="N1" s="2051"/>
      <c r="O1" s="2051"/>
      <c r="P1" s="2051"/>
      <c r="Q1" s="2414"/>
      <c r="R1" s="2051"/>
      <c r="S1" s="2051"/>
      <c r="T1" s="2051"/>
      <c r="U1" s="2051"/>
      <c r="V1" s="2051"/>
      <c r="W1" s="2051"/>
      <c r="X1" s="2051"/>
      <c r="Y1" s="2051"/>
      <c r="Z1" s="2051"/>
      <c r="AA1" s="2051"/>
      <c r="AB1" s="2051"/>
      <c r="AC1" s="2051"/>
      <c r="AD1" s="2051"/>
      <c r="AE1" s="2051"/>
      <c r="AF1" s="2051"/>
      <c r="AG1" s="2051"/>
    </row>
    <row r="2" spans="1:33" ht="18" customHeight="1">
      <c r="A2" s="422" t="s">
        <v>463</v>
      </c>
      <c r="B2" s="774">
        <f ca="1">C40+J29+L46</f>
        <v>22776</v>
      </c>
      <c r="C2" s="2055"/>
      <c r="D2" s="2053"/>
      <c r="E2" s="2054"/>
      <c r="F2" s="2054"/>
      <c r="G2" s="1587"/>
      <c r="H2" s="2055"/>
      <c r="I2" s="2055"/>
      <c r="J2" s="2055"/>
      <c r="K2" s="2056"/>
      <c r="L2" s="2055"/>
      <c r="M2" s="2055"/>
    </row>
    <row r="3" spans="1:33" ht="18" customHeight="1" thickBot="1">
      <c r="A3" s="832" t="s">
        <v>515</v>
      </c>
      <c r="B3" s="833">
        <f ca="1">IF(ISERROR(B2*10000/F43),0,ROUND(B2*10000/F43,0))</f>
        <v>7634</v>
      </c>
      <c r="C3" s="2055"/>
      <c r="D3" s="2053"/>
      <c r="E3" s="2054"/>
      <c r="F3" s="2054"/>
      <c r="G3" s="1587"/>
      <c r="H3" s="775" t="s">
        <v>691</v>
      </c>
      <c r="I3" s="1362"/>
      <c r="J3" s="1362"/>
      <c r="K3" s="1588"/>
      <c r="L3" s="1362"/>
      <c r="M3" s="1362"/>
    </row>
    <row r="4" spans="1:33" ht="18" customHeight="1">
      <c r="A4" s="776" t="s">
        <v>626</v>
      </c>
      <c r="B4" s="777" t="s">
        <v>627</v>
      </c>
      <c r="C4" s="777" t="s">
        <v>1727</v>
      </c>
      <c r="D4" s="777" t="s">
        <v>629</v>
      </c>
      <c r="E4" s="778" t="s">
        <v>630</v>
      </c>
      <c r="F4" s="779"/>
      <c r="G4" s="1589"/>
      <c r="H4" s="776" t="s">
        <v>626</v>
      </c>
      <c r="I4" s="777" t="s">
        <v>627</v>
      </c>
      <c r="J4" s="777" t="s">
        <v>1727</v>
      </c>
      <c r="K4" s="777" t="s">
        <v>629</v>
      </c>
      <c r="L4" s="778" t="s">
        <v>630</v>
      </c>
      <c r="M4" s="779"/>
    </row>
    <row r="5" spans="1:33" ht="18" customHeight="1">
      <c r="A5" s="780">
        <v>1</v>
      </c>
      <c r="B5" s="781" t="s">
        <v>2458</v>
      </c>
      <c r="C5" s="55">
        <f ca="1">C6+C10+C12</f>
        <v>1276</v>
      </c>
      <c r="D5" s="2518" t="s">
        <v>2461</v>
      </c>
      <c r="E5" s="2512"/>
      <c r="F5" s="2513"/>
      <c r="G5" s="1589"/>
      <c r="H5" s="780">
        <v>1</v>
      </c>
      <c r="I5" s="781" t="s">
        <v>2458</v>
      </c>
      <c r="J5" s="55">
        <f ca="1">J6+J10+J12</f>
        <v>0</v>
      </c>
      <c r="K5" s="2518" t="s">
        <v>2461</v>
      </c>
      <c r="L5" s="2512"/>
      <c r="M5" s="2513"/>
    </row>
    <row r="6" spans="1:33" ht="18" customHeight="1">
      <c r="A6" s="1828" t="s">
        <v>1821</v>
      </c>
      <c r="B6" s="3499" t="s">
        <v>2463</v>
      </c>
      <c r="C6" s="782">
        <f ca="1">ROUND(F6*F8*F7*(1-F9)/10000,0)</f>
        <v>1274</v>
      </c>
      <c r="D6" s="2519" t="s">
        <v>2462</v>
      </c>
      <c r="E6" s="783" t="s">
        <v>1735</v>
      </c>
      <c r="F6" s="784">
        <f ca="1">INDIRECT("'数据-取费表'!u"&amp;$G$1)</f>
        <v>1.3</v>
      </c>
      <c r="G6" s="1589"/>
      <c r="H6" s="2526" t="s">
        <v>1821</v>
      </c>
      <c r="I6" s="3499" t="s">
        <v>2463</v>
      </c>
      <c r="J6" s="782">
        <f ca="1">ROUND(M6*M8*M7*(1-M9)/10000,0)</f>
        <v>0</v>
      </c>
      <c r="K6" s="340" t="s">
        <v>632</v>
      </c>
      <c r="L6" s="783" t="s">
        <v>1735</v>
      </c>
      <c r="M6" s="784">
        <f ca="1">INDIRECT("'数据-取费表'!z"&amp;$G$1)</f>
        <v>0</v>
      </c>
    </row>
    <row r="7" spans="1:33" ht="18" customHeight="1">
      <c r="A7" s="2522"/>
      <c r="B7" s="3500"/>
      <c r="C7" s="787"/>
      <c r="D7" s="788"/>
      <c r="E7" s="783" t="s">
        <v>634</v>
      </c>
      <c r="F7" s="784">
        <f ca="1">IF(INDIRECT("'数据-取费表'!ah"&amp;$G$1)="",INDIRECT("'数据-取费表'!k"&amp;$G$1),INDIRECT("'数据-取费表'!ah"&amp;$G$1))</f>
        <v>29834.269999999997</v>
      </c>
      <c r="G7" s="1589"/>
      <c r="H7" s="2511"/>
      <c r="I7" s="3500"/>
      <c r="J7" s="787"/>
      <c r="K7" s="788"/>
      <c r="L7" s="783" t="s">
        <v>634</v>
      </c>
      <c r="M7" s="784">
        <f ca="1">F7</f>
        <v>29834.269999999997</v>
      </c>
    </row>
    <row r="8" spans="1:33" ht="18" customHeight="1">
      <c r="A8" s="2515"/>
      <c r="B8" s="3501"/>
      <c r="C8" s="787"/>
      <c r="D8" s="788"/>
      <c r="E8" s="783" t="s">
        <v>635</v>
      </c>
      <c r="F8" s="784">
        <f ca="1">INDIRECT("'数据-取费表'!ai"&amp;$G$1)</f>
        <v>365</v>
      </c>
      <c r="G8" s="1589"/>
      <c r="H8" s="2511"/>
      <c r="I8" s="3501"/>
      <c r="J8" s="787"/>
      <c r="K8" s="788"/>
      <c r="L8" s="783" t="s">
        <v>635</v>
      </c>
      <c r="M8" s="784">
        <f ca="1">INDIRECT("'数据-取费表'!ai"&amp;$G$1)</f>
        <v>365</v>
      </c>
    </row>
    <row r="9" spans="1:33" ht="18" customHeight="1">
      <c r="A9" s="785"/>
      <c r="B9" s="3502"/>
      <c r="C9" s="787"/>
      <c r="D9" s="788"/>
      <c r="E9" s="783" t="s">
        <v>636</v>
      </c>
      <c r="F9" s="793">
        <f ca="1">INDIRECT("'数据-取费表'!w"&amp;$G$1)</f>
        <v>0.1</v>
      </c>
      <c r="G9" s="1589"/>
      <c r="H9" s="2527"/>
      <c r="I9" s="3501"/>
      <c r="J9" s="787"/>
      <c r="K9" s="788"/>
      <c r="L9" s="794" t="s">
        <v>636</v>
      </c>
      <c r="M9" s="795">
        <f ca="1">INDIRECT("'数据-取费表'!ab"&amp;$G$1)</f>
        <v>0</v>
      </c>
    </row>
    <row r="10" spans="1:33" ht="18" customHeight="1">
      <c r="A10" s="1828" t="s">
        <v>1822</v>
      </c>
      <c r="B10" s="2516" t="s">
        <v>2459</v>
      </c>
      <c r="C10" s="798">
        <f ca="1">ROUND(IF(F10="押一",C6/12*F11,IF(F10="押二",C6/12*2*F11,IF(F10="押三",C6/12*3*F11,C11*F11))),0)</f>
        <v>2</v>
      </c>
      <c r="D10" s="2523" t="s">
        <v>2976</v>
      </c>
      <c r="E10" s="2520" t="s">
        <v>2464</v>
      </c>
      <c r="F10" s="2643" t="s">
        <v>3094</v>
      </c>
      <c r="G10" s="1589"/>
      <c r="H10" s="2583" t="s">
        <v>1822</v>
      </c>
      <c r="I10" s="2588" t="s">
        <v>2459</v>
      </c>
      <c r="J10" s="782">
        <f ca="1">ROUND(IF(M10="押一",J6/12*M11,IF(M10="押二",J6/12*2*M11,IF(M10="押三",J6/12*3*M11,J11*M11))),0)</f>
        <v>0</v>
      </c>
      <c r="K10" s="2523" t="s">
        <v>2976</v>
      </c>
      <c r="L10" s="2520" t="s">
        <v>2464</v>
      </c>
      <c r="M10" s="2643"/>
    </row>
    <row r="11" spans="1:33" ht="18" customHeight="1">
      <c r="A11" s="789"/>
      <c r="B11" s="2517" t="s">
        <v>2573</v>
      </c>
      <c r="C11" s="2521"/>
      <c r="D11" s="788"/>
      <c r="E11" s="2520" t="s">
        <v>2456</v>
      </c>
      <c r="F11" s="795">
        <f ca="1">'数据-取费表'!B39</f>
        <v>1.4999999999999999E-2</v>
      </c>
      <c r="G11" s="1589"/>
      <c r="H11" s="2584"/>
      <c r="I11" s="2517" t="s">
        <v>2573</v>
      </c>
      <c r="J11" s="2521"/>
      <c r="K11" s="2585"/>
      <c r="L11" s="2520" t="s">
        <v>2456</v>
      </c>
      <c r="M11" s="2514">
        <f ca="1">'数据-取费表'!B39</f>
        <v>1.4999999999999999E-2</v>
      </c>
    </row>
    <row r="12" spans="1:33" ht="18" customHeight="1" thickBot="1">
      <c r="A12" s="2559" t="s">
        <v>2467</v>
      </c>
      <c r="B12" s="2560" t="s">
        <v>2460</v>
      </c>
      <c r="C12" s="2561"/>
      <c r="D12" s="2562"/>
      <c r="E12" s="2563"/>
      <c r="F12" s="2564"/>
      <c r="G12" s="1589"/>
      <c r="H12" s="2573" t="s">
        <v>2467</v>
      </c>
      <c r="I12" s="2586" t="s">
        <v>2460</v>
      </c>
      <c r="J12" s="2587"/>
      <c r="K12" s="2562"/>
      <c r="L12" s="2563"/>
      <c r="M12" s="2576"/>
    </row>
    <row r="13" spans="1:33" ht="18" customHeight="1" thickTop="1">
      <c r="A13" s="1827">
        <v>2</v>
      </c>
      <c r="B13" s="1825" t="s">
        <v>640</v>
      </c>
      <c r="C13" s="791">
        <f ca="1">ROUND(C29*F13,0)</f>
        <v>12395</v>
      </c>
      <c r="D13" s="1832" t="s">
        <v>2296</v>
      </c>
      <c r="E13" s="1832" t="s">
        <v>1741</v>
      </c>
      <c r="F13" s="2558">
        <f ca="1">INDIRECT("'数据-取费表'!y"&amp;$G$1)</f>
        <v>1</v>
      </c>
      <c r="G13" s="1589"/>
      <c r="H13" s="1827">
        <v>2</v>
      </c>
      <c r="I13" s="1825" t="s">
        <v>640</v>
      </c>
      <c r="J13" s="1817">
        <f ca="1">ROUND(J14*J15,0)</f>
        <v>0</v>
      </c>
      <c r="K13" s="1819" t="s">
        <v>1740</v>
      </c>
      <c r="L13" s="2574"/>
      <c r="M13" s="2575"/>
    </row>
    <row r="14" spans="1:33" ht="18" customHeight="1">
      <c r="A14" s="1645" t="s">
        <v>1828</v>
      </c>
      <c r="B14" s="783" t="s">
        <v>641</v>
      </c>
      <c r="C14" s="803">
        <f ca="1">INDIRECT("'数据-取费表'!m"&amp;$G$1)+INDIRECT("'数据-取费表'!t"&amp;$G$1)</f>
        <v>9197</v>
      </c>
      <c r="D14" s="3177" t="s">
        <v>1742</v>
      </c>
      <c r="E14" s="3176"/>
      <c r="F14" s="804"/>
      <c r="G14" s="1589"/>
      <c r="H14" s="1646" t="s">
        <v>1821</v>
      </c>
      <c r="I14" s="2229" t="s">
        <v>2825</v>
      </c>
      <c r="J14" s="53">
        <f ca="1">C29</f>
        <v>12395</v>
      </c>
      <c r="K14" s="26"/>
      <c r="L14" s="800"/>
      <c r="M14" s="801"/>
    </row>
    <row r="15" spans="1:33" s="2062" customFormat="1" ht="18" customHeight="1" thickBot="1">
      <c r="A15" s="1645" t="s">
        <v>1829</v>
      </c>
      <c r="B15" s="783" t="s">
        <v>643</v>
      </c>
      <c r="C15" s="53">
        <f ca="1">ROUND(C14*F15,0)</f>
        <v>276</v>
      </c>
      <c r="D15" s="805" t="s">
        <v>644</v>
      </c>
      <c r="E15" s="805" t="s">
        <v>645</v>
      </c>
      <c r="F15" s="806">
        <f>'数据-取费表'!B33</f>
        <v>0.03</v>
      </c>
      <c r="G15" s="1590"/>
      <c r="H15" s="2573" t="s">
        <v>1886</v>
      </c>
      <c r="I15" s="2568" t="s">
        <v>1741</v>
      </c>
      <c r="J15" s="2577">
        <f ca="1">INDIRECT("'数据-取费表'!ad"&amp;$G$1)</f>
        <v>0</v>
      </c>
      <c r="K15" s="2578"/>
      <c r="L15" s="2579"/>
      <c r="M15" s="2580"/>
      <c r="N15" s="2061"/>
      <c r="O15" s="2061"/>
      <c r="P15" s="2061"/>
      <c r="Q15" s="2415"/>
      <c r="R15" s="2061"/>
      <c r="S15" s="2061"/>
      <c r="T15" s="2061"/>
      <c r="U15" s="2061"/>
      <c r="V15" s="2061"/>
      <c r="W15" s="2061"/>
      <c r="X15" s="2061"/>
      <c r="Y15" s="2061"/>
      <c r="Z15" s="2061"/>
      <c r="AA15" s="2061"/>
      <c r="AB15" s="2061"/>
      <c r="AC15" s="2061"/>
      <c r="AD15" s="2061"/>
      <c r="AE15" s="2061"/>
      <c r="AF15" s="2061"/>
      <c r="AG15" s="2061"/>
    </row>
    <row r="16" spans="1:33" ht="18" customHeight="1" thickTop="1">
      <c r="A16" s="1645" t="s">
        <v>1830</v>
      </c>
      <c r="B16" s="783" t="s">
        <v>646</v>
      </c>
      <c r="C16" s="53">
        <f ca="1">ROUND(INDIRECT("'数据-取费表'!m"&amp;$G$1)*F16,0)</f>
        <v>0</v>
      </c>
      <c r="D16" s="783" t="s">
        <v>644</v>
      </c>
      <c r="E16" s="783" t="s">
        <v>645</v>
      </c>
      <c r="F16" s="808">
        <f ca="1">IF(INDIRECT("'数据-取费表'!c"&amp;$G$1)="住宅",'数据-取费表'!B34,0)</f>
        <v>0</v>
      </c>
      <c r="G16" s="1589"/>
      <c r="H16" s="1827" t="s">
        <v>1745</v>
      </c>
      <c r="I16" s="1825" t="s">
        <v>1746</v>
      </c>
      <c r="J16" s="791">
        <f ca="1">ROUND(J17+J22+J23+J24,0)</f>
        <v>1229</v>
      </c>
      <c r="K16" s="1819" t="s">
        <v>648</v>
      </c>
      <c r="L16" s="3179"/>
      <c r="M16" s="2513"/>
    </row>
    <row r="17" spans="1:33" s="2062" customFormat="1" ht="18" customHeight="1">
      <c r="A17" s="1645" t="s">
        <v>1884</v>
      </c>
      <c r="B17" s="783" t="s">
        <v>649</v>
      </c>
      <c r="C17" s="53">
        <f ca="1">ROUND(F17*(F43+INDIRECT("'数据-取费表'!S"&amp;$G$1))/10000,0)</f>
        <v>637</v>
      </c>
      <c r="D17" s="783" t="s">
        <v>650</v>
      </c>
      <c r="E17" s="783" t="s">
        <v>651</v>
      </c>
      <c r="F17" s="56">
        <f>'数据-取费表'!B35</f>
        <v>180</v>
      </c>
      <c r="G17" s="1590"/>
      <c r="H17" s="1646" t="s">
        <v>1821</v>
      </c>
      <c r="I17" s="783" t="s">
        <v>652</v>
      </c>
      <c r="J17" s="53">
        <f ca="1">ROUND(IF(项目基本情况!B11="自然人",J5*M17,J18+J19+J20),0)</f>
        <v>1043</v>
      </c>
      <c r="K17" s="3177" t="s">
        <v>653</v>
      </c>
      <c r="L17" s="3178" t="s">
        <v>1751</v>
      </c>
      <c r="M17" s="809" t="str">
        <f ca="1">IF(项目基本情况!B11="企业","",IF(INDIRECT("'数据-取费表'!c"&amp;$G$1)="住宅",5%,IF(M6*M7*M8/12/(1+'数据-取费表'!C42)&gt;20000,12%,7%)))</f>
        <v/>
      </c>
      <c r="N17" s="2061"/>
      <c r="O17" s="2061"/>
      <c r="P17" s="2061"/>
      <c r="Q17" s="2415"/>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5" t="s">
        <v>1885</v>
      </c>
      <c r="B18" s="783" t="s">
        <v>655</v>
      </c>
      <c r="C18" s="53">
        <f ca="1">ROUND(C14*F18,0)</f>
        <v>138</v>
      </c>
      <c r="D18" s="783" t="s">
        <v>644</v>
      </c>
      <c r="E18" s="783" t="s">
        <v>645</v>
      </c>
      <c r="F18" s="808">
        <f>'数据-取费表'!B36</f>
        <v>1.4999999999999999E-2</v>
      </c>
      <c r="G18" s="1590"/>
      <c r="H18" s="1645" t="s">
        <v>1828</v>
      </c>
      <c r="I18" s="783" t="s">
        <v>656</v>
      </c>
      <c r="J18" s="53">
        <f ca="1">ROUND(J5*M18/1.05,1)</f>
        <v>0</v>
      </c>
      <c r="K18" s="3178" t="s">
        <v>657</v>
      </c>
      <c r="L18" s="783" t="s">
        <v>645</v>
      </c>
      <c r="M18" s="808">
        <f>'数据-取费表'!B41</f>
        <v>5.5000000000000007E-2</v>
      </c>
      <c r="N18" s="2061"/>
      <c r="O18" s="2061"/>
      <c r="P18" s="2061"/>
      <c r="Q18" s="2415"/>
      <c r="R18" s="2061"/>
      <c r="S18" s="2061"/>
      <c r="T18" s="2061"/>
      <c r="U18" s="2061"/>
      <c r="V18" s="2061"/>
      <c r="W18" s="2061"/>
      <c r="X18" s="2061"/>
      <c r="Y18" s="2061"/>
      <c r="Z18" s="2061"/>
      <c r="AA18" s="2061"/>
      <c r="AB18" s="2061"/>
      <c r="AC18" s="2061"/>
      <c r="AD18" s="2061"/>
      <c r="AE18" s="2061"/>
      <c r="AF18" s="2061"/>
      <c r="AG18" s="2061"/>
    </row>
    <row r="19" spans="1:33" ht="18" customHeight="1">
      <c r="A19" s="1646" t="s">
        <v>1821</v>
      </c>
      <c r="B19" s="783" t="s">
        <v>658</v>
      </c>
      <c r="C19" s="53">
        <f ca="1">SUM(C14:C18)</f>
        <v>10248</v>
      </c>
      <c r="D19" s="260" t="s">
        <v>1754</v>
      </c>
      <c r="E19" s="3180"/>
      <c r="F19" s="56"/>
      <c r="G19" s="1589"/>
      <c r="H19" s="1645" t="s">
        <v>1829</v>
      </c>
      <c r="I19" s="783" t="s">
        <v>660</v>
      </c>
      <c r="J19" s="53">
        <f ca="1">IF(K19="按租金收入计税",ROUND(J5*M19,1),ROUND(C29*F33*0.7,1))</f>
        <v>1041.2</v>
      </c>
      <c r="K19" s="810" t="s">
        <v>661</v>
      </c>
      <c r="L19" s="783" t="s">
        <v>645</v>
      </c>
      <c r="M19" s="808">
        <f>IF(K19="按租金收入计税",'数据-取费表'!B51,'数据-取费表'!B50)</f>
        <v>1.2E-2</v>
      </c>
    </row>
    <row r="20" spans="1:33" s="2062" customFormat="1" ht="18" customHeight="1">
      <c r="A20" s="1646" t="s">
        <v>1886</v>
      </c>
      <c r="B20" s="783" t="s">
        <v>662</v>
      </c>
      <c r="C20" s="53">
        <f ca="1">ROUND(C19*F20,0)</f>
        <v>205</v>
      </c>
      <c r="D20" s="811" t="s">
        <v>663</v>
      </c>
      <c r="E20" s="783" t="s">
        <v>645</v>
      </c>
      <c r="F20" s="808">
        <f>'数据-取费表'!B37</f>
        <v>0.02</v>
      </c>
      <c r="G20" s="1590"/>
      <c r="H20" s="1648" t="s">
        <v>1830</v>
      </c>
      <c r="I20" s="340" t="s">
        <v>664</v>
      </c>
      <c r="J20" s="54">
        <f ca="1">ROUND(M20*M21/10000,0)</f>
        <v>2</v>
      </c>
      <c r="K20" s="813" t="s">
        <v>1758</v>
      </c>
      <c r="L20" s="783" t="s">
        <v>666</v>
      </c>
      <c r="M20" s="639">
        <f>'数据-取费表'!B52</f>
        <v>1.5</v>
      </c>
      <c r="N20" s="2061"/>
      <c r="O20" s="2061"/>
      <c r="P20" s="2061"/>
      <c r="Q20" s="2415"/>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6" t="s">
        <v>1887</v>
      </c>
      <c r="B21" s="783" t="s">
        <v>667</v>
      </c>
      <c r="C21" s="53" t="s">
        <v>1761</v>
      </c>
      <c r="D21" s="811" t="s">
        <v>2297</v>
      </c>
      <c r="E21" s="783" t="s">
        <v>669</v>
      </c>
      <c r="F21" s="808">
        <f>'数据-取费表'!B38</f>
        <v>0.02</v>
      </c>
      <c r="G21" s="1590"/>
      <c r="H21" s="2528"/>
      <c r="I21" s="792"/>
      <c r="J21" s="69"/>
      <c r="K21" s="815"/>
      <c r="L21" s="783" t="s">
        <v>670</v>
      </c>
      <c r="M21" s="784">
        <f ca="1">INDIRECT("'数据-取费表'!r"&amp;$G$1)</f>
        <v>12073.539999999999</v>
      </c>
      <c r="N21" s="2061"/>
      <c r="O21" s="2061"/>
      <c r="P21" s="2061"/>
      <c r="Q21" s="2415"/>
      <c r="R21" s="2061"/>
      <c r="S21" s="2061"/>
      <c r="T21" s="2061"/>
      <c r="U21" s="2061"/>
      <c r="V21" s="2061"/>
      <c r="W21" s="2061"/>
      <c r="X21" s="2061"/>
      <c r="Y21" s="2061"/>
      <c r="Z21" s="2061"/>
      <c r="AA21" s="2061"/>
      <c r="AB21" s="2061"/>
      <c r="AC21" s="2061"/>
      <c r="AD21" s="2061"/>
      <c r="AE21" s="2061"/>
      <c r="AF21" s="2061"/>
      <c r="AG21" s="2061"/>
    </row>
    <row r="22" spans="1:33" ht="18" customHeight="1">
      <c r="A22" s="1646" t="s">
        <v>1888</v>
      </c>
      <c r="B22" s="783" t="s">
        <v>1764</v>
      </c>
      <c r="C22" s="53"/>
      <c r="D22" s="2594" t="str">
        <f>IF(F23&lt;=1,"单利计息。","复利计息。")&amp;"建造成本、管理费用、销售费用产生的利息。"</f>
        <v>复利计息。建造成本、管理费用、销售费用产生的利息。</v>
      </c>
      <c r="E22" s="3180"/>
      <c r="F22" s="56"/>
      <c r="G22" s="1589"/>
      <c r="H22" s="1646" t="s">
        <v>1886</v>
      </c>
      <c r="I22" s="783" t="s">
        <v>672</v>
      </c>
      <c r="J22" s="53">
        <f ca="1">ROUND(J14*M22,0)</f>
        <v>186</v>
      </c>
      <c r="K22" s="3178" t="s">
        <v>1766</v>
      </c>
      <c r="L22" s="783" t="s">
        <v>645</v>
      </c>
      <c r="M22" s="816">
        <f ca="1">INDIRECT("'数据-取费表'!Ak"&amp;$G$1)</f>
        <v>1.4999999999999999E-2</v>
      </c>
    </row>
    <row r="23" spans="1:33" s="2062" customFormat="1" ht="18" customHeight="1">
      <c r="A23" s="1645" t="s">
        <v>1828</v>
      </c>
      <c r="B23" s="783" t="s">
        <v>2437</v>
      </c>
      <c r="C23" s="53">
        <f ca="1">ROUND(IF('数据-取费表'!B22&lt;=1,(C19+C20)*F24*F23/2,(C19+C20)*(POWER((1+F24),F23/2)-1)),0)</f>
        <v>497</v>
      </c>
      <c r="D23" s="2593" t="str">
        <f>IF(F23&lt;=1,"(建造成本+管理费用)×利率×(建设周期÷2)","(建造成本+管理费用)×((1+利率)^(建设周期÷2)-1)")</f>
        <v>(建造成本+管理费用)×((1+利率)^(建设周期÷2)-1)</v>
      </c>
      <c r="E23" s="783" t="s">
        <v>674</v>
      </c>
      <c r="F23" s="639">
        <f>'数据-取费表'!B20</f>
        <v>2</v>
      </c>
      <c r="G23" s="1590"/>
      <c r="H23" s="1646" t="s">
        <v>1887</v>
      </c>
      <c r="I23" s="783" t="s">
        <v>675</v>
      </c>
      <c r="J23" s="53">
        <f ca="1">ROUND(J13*M23,0)</f>
        <v>0</v>
      </c>
      <c r="K23" s="3178" t="s">
        <v>676</v>
      </c>
      <c r="L23" s="783" t="s">
        <v>645</v>
      </c>
      <c r="M23" s="817">
        <f ca="1">INDIRECT("'数据-取费表'!Al"&amp;$G$1)</f>
        <v>1.5E-3</v>
      </c>
      <c r="N23" s="2061"/>
      <c r="O23" s="2061"/>
      <c r="P23" s="2061"/>
      <c r="Q23" s="2415"/>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5" t="s">
        <v>1829</v>
      </c>
      <c r="B24" s="783" t="s">
        <v>677</v>
      </c>
      <c r="C24" s="53">
        <f ca="1">ROUND(IF('数据-取费表'!B22&lt;=1,F21*F24*F23/2,F21*(POWER((1+F24),F23/2)-1)),4)</f>
        <v>1E-3</v>
      </c>
      <c r="D24" s="2593" t="str">
        <f>IF(F23&lt;=1,"销售费用×利率×(建设周期÷2)","销售费用×((1+利率)^(建设周期÷2)-1)")</f>
        <v>销售费用×((1+利率)^(建设周期÷2)-1)</v>
      </c>
      <c r="E24" s="783" t="s">
        <v>678</v>
      </c>
      <c r="F24" s="818">
        <f ca="1">'数据-取费表'!B40</f>
        <v>4.7500000000000001E-2</v>
      </c>
      <c r="G24" s="1590"/>
      <c r="H24" s="2573" t="s">
        <v>1888</v>
      </c>
      <c r="I24" s="2568" t="s">
        <v>662</v>
      </c>
      <c r="J24" s="2566">
        <f ca="1">ROUND(J5*M24,0)</f>
        <v>0</v>
      </c>
      <c r="K24" s="2567" t="s">
        <v>1771</v>
      </c>
      <c r="L24" s="2568" t="s">
        <v>645</v>
      </c>
      <c r="M24" s="2564">
        <f ca="1">INDIRECT("'数据-取费表'!Am"&amp;$G$1)</f>
        <v>0.01</v>
      </c>
      <c r="N24" s="2061"/>
      <c r="O24" s="2061"/>
      <c r="P24" s="2061"/>
      <c r="Q24" s="2415"/>
      <c r="R24" s="2061"/>
      <c r="S24" s="2061"/>
      <c r="T24" s="2061"/>
      <c r="U24" s="2061"/>
      <c r="V24" s="2061"/>
      <c r="W24" s="2061"/>
      <c r="X24" s="2061"/>
      <c r="Y24" s="2061"/>
      <c r="Z24" s="2061"/>
      <c r="AA24" s="2061"/>
      <c r="AB24" s="2061"/>
      <c r="AC24" s="2061"/>
      <c r="AD24" s="2061"/>
      <c r="AE24" s="2061"/>
      <c r="AF24" s="2061"/>
      <c r="AG24" s="2061"/>
    </row>
    <row r="25" spans="1:33" ht="18" customHeight="1" thickTop="1">
      <c r="A25" s="1647" t="s">
        <v>1837</v>
      </c>
      <c r="B25" s="783" t="s">
        <v>680</v>
      </c>
      <c r="C25" s="53"/>
      <c r="D25" s="260" t="s">
        <v>1772</v>
      </c>
      <c r="E25" s="3180"/>
      <c r="F25" s="56"/>
      <c r="G25" s="1589"/>
      <c r="H25" s="1827" t="s">
        <v>1773</v>
      </c>
      <c r="I25" s="3032" t="s">
        <v>2822</v>
      </c>
      <c r="J25" s="791">
        <f ca="1">J5-J16</f>
        <v>-1229</v>
      </c>
      <c r="K25" s="2570" t="s">
        <v>1774</v>
      </c>
      <c r="L25" s="2571"/>
      <c r="M25" s="2572"/>
    </row>
    <row r="26" spans="1:33" ht="18" customHeight="1">
      <c r="A26" s="1645" t="s">
        <v>1828</v>
      </c>
      <c r="B26" s="783" t="s">
        <v>2438</v>
      </c>
      <c r="C26" s="53">
        <f ca="1">ROUND((C19+C20)*F26,0)</f>
        <v>523</v>
      </c>
      <c r="D26" s="811" t="s">
        <v>697</v>
      </c>
      <c r="E26" s="794" t="s">
        <v>698</v>
      </c>
      <c r="F26" s="793">
        <f ca="1">INDIRECT("'数据-取费表'!q"&amp;$G$1)</f>
        <v>0.05</v>
      </c>
      <c r="G26" s="1589"/>
      <c r="H26" s="2524" t="s">
        <v>1777</v>
      </c>
      <c r="I26" s="2230" t="s">
        <v>2827</v>
      </c>
      <c r="J26" s="782">
        <f ca="1">IF(J5&lt;&gt;0,ROUND(J25*(1-((1+M28)/(1+M26))^M27)/(M26-M28),0),0)</f>
        <v>0</v>
      </c>
      <c r="K26" s="813" t="s">
        <v>700</v>
      </c>
      <c r="L26" s="783" t="s">
        <v>2419</v>
      </c>
      <c r="M26" s="793">
        <f ca="1">INDIRECT("'数据-取费表'!I"&amp;$G$1)</f>
        <v>0.05</v>
      </c>
    </row>
    <row r="27" spans="1:33" ht="18" customHeight="1">
      <c r="A27" s="1645" t="s">
        <v>1829</v>
      </c>
      <c r="B27" s="783" t="s">
        <v>682</v>
      </c>
      <c r="C27" s="53">
        <f ca="1">ROUND(F21*F26,4)</f>
        <v>1E-3</v>
      </c>
      <c r="D27" s="811" t="s">
        <v>702</v>
      </c>
      <c r="E27" s="805"/>
      <c r="F27" s="806"/>
      <c r="G27" s="1589"/>
      <c r="H27" s="2525"/>
      <c r="I27" s="786"/>
      <c r="J27" s="787"/>
      <c r="K27" s="820" t="s">
        <v>703</v>
      </c>
      <c r="L27" s="783" t="s">
        <v>704</v>
      </c>
      <c r="M27" s="821">
        <f ca="1">INDIRECT("'数据-取费表'!ag"&amp;$G$1)</f>
        <v>0</v>
      </c>
    </row>
    <row r="28" spans="1:33" s="2062" customFormat="1" ht="18" customHeight="1">
      <c r="A28" s="1647" t="s">
        <v>1838</v>
      </c>
      <c r="B28" s="783" t="s">
        <v>683</v>
      </c>
      <c r="C28" s="53">
        <f>ROUND(F28/(1+'数据-取费表'!C42),4)</f>
        <v>5.2400000000000002E-2</v>
      </c>
      <c r="D28" s="811" t="s">
        <v>2298</v>
      </c>
      <c r="E28" s="783" t="s">
        <v>645</v>
      </c>
      <c r="F28" s="808">
        <f>'数据-取费表'!B41</f>
        <v>5.5000000000000007E-2</v>
      </c>
      <c r="G28" s="1590"/>
      <c r="H28" s="1827"/>
      <c r="I28" s="790"/>
      <c r="J28" s="791"/>
      <c r="K28" s="815"/>
      <c r="L28" s="783" t="s">
        <v>706</v>
      </c>
      <c r="M28" s="793">
        <f ca="1">INDIRECT("'数据-取费表'!aa"&amp;$G$1)</f>
        <v>0</v>
      </c>
      <c r="N28" s="2061"/>
      <c r="O28" s="2061"/>
      <c r="P28" s="2061"/>
      <c r="Q28" s="2415"/>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65" t="s">
        <v>1889</v>
      </c>
      <c r="B29" s="2563" t="s">
        <v>2299</v>
      </c>
      <c r="C29" s="2566">
        <f ca="1">ROUND((C19+C20+C23+C26)/(1-F21-C24-C27-C28),0)</f>
        <v>12395</v>
      </c>
      <c r="D29" s="2567"/>
      <c r="E29" s="2568"/>
      <c r="F29" s="2569"/>
      <c r="G29" s="1590"/>
      <c r="H29" s="822" t="s">
        <v>1784</v>
      </c>
      <c r="I29" s="823" t="s">
        <v>1785</v>
      </c>
      <c r="J29" s="824">
        <f ca="1">ROUND(J26/(1+F40)^F41,0)</f>
        <v>0</v>
      </c>
      <c r="K29" s="825" t="s">
        <v>1786</v>
      </c>
      <c r="L29" s="826"/>
      <c r="M29" s="827">
        <f ca="1">INDIRECT("'数据-取费表'!k"&amp;$G$1)</f>
        <v>29834.269999999997</v>
      </c>
      <c r="N29" s="2061"/>
      <c r="O29" s="2061"/>
      <c r="P29" s="2061"/>
      <c r="Q29" s="2415"/>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1745</v>
      </c>
      <c r="B30" s="1825" t="s">
        <v>1746</v>
      </c>
      <c r="C30" s="791">
        <f ca="1">ROUND(C31+C36+C37+C38,0)</f>
        <v>439</v>
      </c>
      <c r="D30" s="1819" t="s">
        <v>648</v>
      </c>
      <c r="E30" s="3179"/>
      <c r="F30" s="2513"/>
      <c r="G30" s="2060"/>
      <c r="H30" s="2063"/>
      <c r="I30" s="2064"/>
      <c r="J30" s="2065"/>
      <c r="K30" s="2066"/>
      <c r="L30" s="2067"/>
      <c r="M30" s="2068"/>
    </row>
    <row r="31" spans="1:33" ht="18" customHeight="1">
      <c r="A31" s="1646" t="s">
        <v>1821</v>
      </c>
      <c r="B31" s="783" t="s">
        <v>652</v>
      </c>
      <c r="C31" s="53">
        <f ca="1">ROUND(IF(项目基本情况!B11="自然人",C5*F31,C32+C33+C34),1)</f>
        <v>221.7</v>
      </c>
      <c r="D31" s="3177" t="s">
        <v>653</v>
      </c>
      <c r="E31" s="3178" t="s">
        <v>1790</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5" t="s">
        <v>1828</v>
      </c>
      <c r="B32" s="783" t="s">
        <v>656</v>
      </c>
      <c r="C32" s="53">
        <f ca="1">ROUND(C5*F32/1.05,1)</f>
        <v>66.8</v>
      </c>
      <c r="D32" s="3178" t="s">
        <v>657</v>
      </c>
      <c r="E32" s="783" t="s">
        <v>645</v>
      </c>
      <c r="F32" s="808">
        <f>'数据-取费表'!B41</f>
        <v>5.5000000000000007E-2</v>
      </c>
      <c r="G32" s="2060"/>
      <c r="H32" s="2069"/>
      <c r="I32" s="2070"/>
      <c r="J32" s="2071"/>
      <c r="K32" s="2072"/>
      <c r="L32" s="2073"/>
      <c r="M32" s="2074"/>
    </row>
    <row r="33" spans="1:18" ht="18" customHeight="1">
      <c r="A33" s="1645" t="s">
        <v>1829</v>
      </c>
      <c r="B33" s="783" t="s">
        <v>660</v>
      </c>
      <c r="C33" s="53">
        <f ca="1">IF(D33="按租金收入计税",ROUND(C5*F33,1),IF(D33="按房产原值计税",ROUND(C29*F33*0.7,1),INDIRECT("'数据-取费表'!Aj"&amp;$G$1)))</f>
        <v>153.1</v>
      </c>
      <c r="D33" s="3248" t="s">
        <v>3192</v>
      </c>
      <c r="E33" s="783" t="s">
        <v>645</v>
      </c>
      <c r="F33" s="808">
        <f>IF(D33="按租金收入计税",'数据-取费表'!B51,'数据-取费表'!B50)</f>
        <v>0.12</v>
      </c>
      <c r="G33" s="2060"/>
      <c r="H33" s="2075"/>
      <c r="I33" s="2075"/>
      <c r="J33" s="2075"/>
      <c r="K33" s="2076"/>
      <c r="L33" s="2075"/>
      <c r="M33" s="2075"/>
    </row>
    <row r="34" spans="1:18" ht="18" customHeight="1">
      <c r="A34" s="1648" t="s">
        <v>1830</v>
      </c>
      <c r="B34" s="340" t="s">
        <v>664</v>
      </c>
      <c r="C34" s="54">
        <f ca="1">ROUND(F34*F35/10000,1)</f>
        <v>1.8</v>
      </c>
      <c r="D34" s="813" t="s">
        <v>1758</v>
      </c>
      <c r="E34" s="783" t="s">
        <v>666</v>
      </c>
      <c r="F34" s="639">
        <f>'数据-取费表'!B52</f>
        <v>1.5</v>
      </c>
      <c r="G34" s="2060"/>
      <c r="H34" s="2063"/>
      <c r="I34" s="834" t="s">
        <v>1810</v>
      </c>
      <c r="J34" s="835"/>
      <c r="K34" s="2078"/>
      <c r="L34" s="2077"/>
      <c r="M34" s="2077"/>
    </row>
    <row r="35" spans="1:18" ht="18" customHeight="1">
      <c r="A35" s="814"/>
      <c r="B35" s="792"/>
      <c r="C35" s="69"/>
      <c r="D35" s="815"/>
      <c r="E35" s="783" t="s">
        <v>670</v>
      </c>
      <c r="F35" s="784">
        <f ca="1">INDIRECT("'数据-取费表'!r"&amp;$G$1)</f>
        <v>12073.539999999999</v>
      </c>
      <c r="G35" s="2060"/>
      <c r="H35" s="2063"/>
      <c r="I35" s="836" t="s">
        <v>1811</v>
      </c>
      <c r="J35" s="837">
        <f ca="1">ROUND(C13*J36,0)</f>
        <v>992</v>
      </c>
      <c r="K35" s="2076"/>
      <c r="L35" s="2075"/>
      <c r="M35" s="2075"/>
    </row>
    <row r="36" spans="1:18" ht="18" customHeight="1">
      <c r="A36" s="1646" t="s">
        <v>1886</v>
      </c>
      <c r="B36" s="783" t="s">
        <v>672</v>
      </c>
      <c r="C36" s="53">
        <f ca="1">ROUND(C29*F36,1)</f>
        <v>185.9</v>
      </c>
      <c r="D36" s="3178" t="s">
        <v>687</v>
      </c>
      <c r="E36" s="783" t="s">
        <v>645</v>
      </c>
      <c r="F36" s="816">
        <f ca="1">INDIRECT("'数据-取费表'!Ak"&amp;$G$1)</f>
        <v>1.4999999999999999E-2</v>
      </c>
      <c r="G36" s="2060"/>
      <c r="H36" s="2075"/>
      <c r="I36" s="838" t="s">
        <v>1812</v>
      </c>
      <c r="J36" s="839">
        <f ca="1">INDIRECT("'数据-取费表'!j"&amp;$G$1)</f>
        <v>0.08</v>
      </c>
      <c r="K36" s="2080"/>
      <c r="L36" s="2075"/>
      <c r="M36" s="2075"/>
    </row>
    <row r="37" spans="1:18" ht="18" customHeight="1">
      <c r="A37" s="1646" t="s">
        <v>1887</v>
      </c>
      <c r="B37" s="783" t="s">
        <v>675</v>
      </c>
      <c r="C37" s="53">
        <f ca="1">ROUND(C13*F37,1)</f>
        <v>18.600000000000001</v>
      </c>
      <c r="D37" s="3178" t="s">
        <v>676</v>
      </c>
      <c r="E37" s="783" t="s">
        <v>645</v>
      </c>
      <c r="F37" s="817">
        <f ca="1">INDIRECT("'数据-取费表'!Al"&amp;$G$1)</f>
        <v>1.5E-3</v>
      </c>
      <c r="G37" s="2060"/>
      <c r="H37" s="2075"/>
      <c r="I37" s="840" t="s">
        <v>1813</v>
      </c>
      <c r="J37" s="841"/>
      <c r="K37" s="2080"/>
      <c r="L37" s="2075"/>
      <c r="M37" s="2075"/>
    </row>
    <row r="38" spans="1:18" ht="18" customHeight="1" thickBot="1">
      <c r="A38" s="2573" t="s">
        <v>1888</v>
      </c>
      <c r="B38" s="2568" t="s">
        <v>662</v>
      </c>
      <c r="C38" s="2566">
        <f ca="1">ROUND(C5*F38,1)</f>
        <v>12.8</v>
      </c>
      <c r="D38" s="2567" t="s">
        <v>1771</v>
      </c>
      <c r="E38" s="2568" t="s">
        <v>645</v>
      </c>
      <c r="F38" s="2564">
        <f ca="1">INDIRECT("'数据-取费表'!Am"&amp;$G$1)</f>
        <v>0.01</v>
      </c>
      <c r="G38" s="2060"/>
      <c r="H38" s="2075"/>
      <c r="I38" s="842" t="s">
        <v>1814</v>
      </c>
      <c r="J38" s="843"/>
      <c r="K38" s="2081"/>
      <c r="L38" s="2075"/>
      <c r="M38" s="2075"/>
    </row>
    <row r="39" spans="1:18" ht="24.6" customHeight="1" thickTop="1">
      <c r="A39" s="1827" t="s">
        <v>1773</v>
      </c>
      <c r="B39" s="3032" t="s">
        <v>2822</v>
      </c>
      <c r="C39" s="791">
        <f ca="1">C5-C30</f>
        <v>837</v>
      </c>
      <c r="D39" s="2570" t="s">
        <v>1774</v>
      </c>
      <c r="E39" s="2571"/>
      <c r="F39" s="2572"/>
      <c r="G39" s="2060"/>
      <c r="H39" s="2075"/>
      <c r="I39" s="836" t="s">
        <v>1815</v>
      </c>
      <c r="J39" s="844">
        <f ca="1">ROUND(J35/C39,3)</f>
        <v>1.1850000000000001</v>
      </c>
      <c r="K39" s="2081"/>
      <c r="L39" s="2075"/>
      <c r="M39" s="2075"/>
    </row>
    <row r="40" spans="1:18" ht="18" customHeight="1">
      <c r="A40" s="780" t="s">
        <v>1777</v>
      </c>
      <c r="B40" s="2230" t="s">
        <v>2300</v>
      </c>
      <c r="C40" s="782">
        <f ca="1">ROUND(C39*(1-((1+F42)/(1+F40))^F41)/(F40-F42),0)</f>
        <v>22776</v>
      </c>
      <c r="D40" s="813" t="s">
        <v>700</v>
      </c>
      <c r="E40" s="783" t="s">
        <v>2419</v>
      </c>
      <c r="F40" s="793">
        <f ca="1">INDIRECT("'数据-取费表'!I"&amp;$G$1)</f>
        <v>0.05</v>
      </c>
      <c r="G40" s="2060"/>
      <c r="H40" s="2060"/>
      <c r="I40" s="836" t="s">
        <v>1816</v>
      </c>
      <c r="J40" s="844">
        <f ca="1">1-J39</f>
        <v>-0.18500000000000005</v>
      </c>
      <c r="K40" s="2081"/>
      <c r="L40" s="2060"/>
      <c r="M40" s="2060"/>
    </row>
    <row r="41" spans="1:18" ht="18" customHeight="1">
      <c r="A41" s="785"/>
      <c r="B41" s="786"/>
      <c r="C41" s="787"/>
      <c r="D41" s="820" t="s">
        <v>1805</v>
      </c>
      <c r="E41" s="783" t="s">
        <v>704</v>
      </c>
      <c r="F41" s="821">
        <f ca="1">IF(INDIRECT("'数据-取费表'!af"&amp;$G$1)=0,INDIRECT("'数据-取费表'!ae"&amp;$G$1),INDIRECT("'数据-取费表'!af"&amp;$G$1))</f>
        <v>47.32</v>
      </c>
      <c r="G41" s="2060"/>
      <c r="H41" s="1986"/>
      <c r="I41" s="842" t="s">
        <v>1817</v>
      </c>
      <c r="J41" s="845"/>
      <c r="K41" s="2080"/>
      <c r="L41" s="1986"/>
      <c r="M41" s="1986"/>
    </row>
    <row r="42" spans="1:18" ht="18" customHeight="1">
      <c r="A42" s="789"/>
      <c r="B42" s="790"/>
      <c r="C42" s="791"/>
      <c r="D42" s="815"/>
      <c r="E42" s="783" t="s">
        <v>706</v>
      </c>
      <c r="F42" s="793">
        <f ca="1">INDIRECT("'数据-取费表'!v"&amp;$G$1)</f>
        <v>2.5000000000000001E-2</v>
      </c>
      <c r="G42" s="2060"/>
      <c r="H42" s="1986"/>
      <c r="I42" s="846" t="s">
        <v>1818</v>
      </c>
      <c r="J42" s="844">
        <f ca="1">ROUND(C13/C40,3)</f>
        <v>0.54400000000000004</v>
      </c>
      <c r="K42" s="2080"/>
      <c r="L42" s="1986"/>
      <c r="M42" s="1986"/>
    </row>
    <row r="43" spans="1:18" ht="18" customHeight="1" thickBot="1">
      <c r="A43" s="822" t="s">
        <v>1784</v>
      </c>
      <c r="B43" s="823" t="s">
        <v>1807</v>
      </c>
      <c r="C43" s="824">
        <f ca="1">ROUND(C40*10000/F43,0)</f>
        <v>7634</v>
      </c>
      <c r="D43" s="825" t="s">
        <v>1808</v>
      </c>
      <c r="E43" s="826" t="s">
        <v>1809</v>
      </c>
      <c r="F43" s="827">
        <f ca="1">INDIRECT("'数据-取费表'!k"&amp;$G$1)</f>
        <v>29834.269999999997</v>
      </c>
      <c r="G43" s="2060"/>
      <c r="H43" s="1986"/>
      <c r="I43" s="846" t="s">
        <v>1819</v>
      </c>
      <c r="J43" s="847">
        <f ca="1">1-J42</f>
        <v>0.45599999999999996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2294</v>
      </c>
      <c r="B46" s="2083"/>
      <c r="C46" s="2596">
        <f ca="1">C67-C40</f>
        <v>-26487</v>
      </c>
      <c r="D46" s="2083"/>
      <c r="E46" s="2083"/>
      <c r="F46" s="2083"/>
      <c r="I46" s="2376" t="s">
        <v>2342</v>
      </c>
      <c r="J46" s="2377"/>
      <c r="K46" s="2378"/>
      <c r="L46" s="2379">
        <f>IF(OR(M47="住宅",D1="土地（套用方法）"),0,IF(L48&gt;J51,L60,J60))</f>
        <v>0</v>
      </c>
      <c r="O46" s="2416" t="s">
        <v>2410</v>
      </c>
      <c r="P46" s="1589"/>
      <c r="Q46" s="1601"/>
      <c r="R46" s="1589"/>
    </row>
    <row r="47" spans="1:18" s="2057" customFormat="1" ht="18" customHeight="1" thickBot="1">
      <c r="A47" s="2370">
        <v>1</v>
      </c>
      <c r="B47" s="2371" t="s">
        <v>631</v>
      </c>
      <c r="C47" s="2596">
        <f ca="1">C48+C52+C54</f>
        <v>0</v>
      </c>
      <c r="D47" s="2083"/>
      <c r="E47" s="2083"/>
      <c r="F47" s="2083"/>
      <c r="I47" s="2380" t="s">
        <v>2343</v>
      </c>
      <c r="J47" s="2385" t="s">
        <v>3092</v>
      </c>
      <c r="K47" s="2386" t="s">
        <v>2349</v>
      </c>
      <c r="L47" s="2387">
        <f ca="1">INDIRECT("'数据-取费表'!d"&amp;$G$1)</f>
        <v>50</v>
      </c>
      <c r="M47" s="1601" t="str">
        <f>IF(ISNUMBER(FIND("住宅",C1)),"住宅","非住宅")</f>
        <v>非住宅</v>
      </c>
      <c r="O47" s="2417" t="s">
        <v>2375</v>
      </c>
      <c r="P47" s="2418" t="s">
        <v>2376</v>
      </c>
      <c r="Q47" s="2419" t="s">
        <v>2377</v>
      </c>
      <c r="R47" s="2418" t="s">
        <v>2378</v>
      </c>
    </row>
    <row r="48" spans="1:18" s="2057" customFormat="1" ht="18" customHeight="1" thickBot="1">
      <c r="A48" s="2664" t="s">
        <v>1867</v>
      </c>
      <c r="B48" s="2665" t="s">
        <v>2538</v>
      </c>
      <c r="C48" s="2372">
        <f ca="1">ROUND(F48*F50*F49*(1-F51)/10000,0)</f>
        <v>0</v>
      </c>
      <c r="D48" s="2373" t="s">
        <v>632</v>
      </c>
      <c r="E48" s="2374" t="s">
        <v>2295</v>
      </c>
      <c r="F48" s="2375"/>
      <c r="G48" s="2088"/>
      <c r="I48" s="2381" t="s">
        <v>2344</v>
      </c>
      <c r="J48" s="2388" t="s">
        <v>2350</v>
      </c>
      <c r="K48" s="2389" t="s">
        <v>2351</v>
      </c>
      <c r="L48" s="2390">
        <f ca="1">INDIRECT("'数据-取费表'!f"&amp;$G$1)</f>
        <v>49.32</v>
      </c>
      <c r="O48" s="2420" t="s">
        <v>2379</v>
      </c>
      <c r="P48" s="2421" t="s">
        <v>2405</v>
      </c>
      <c r="Q48" s="2422">
        <f ca="1">C40+J29</f>
        <v>22776</v>
      </c>
      <c r="R48" s="2421" t="s">
        <v>2380</v>
      </c>
    </row>
    <row r="49" spans="1:18" s="2057" customFormat="1" ht="18" customHeight="1" thickBot="1">
      <c r="A49" s="785"/>
      <c r="B49" s="786"/>
      <c r="C49" s="787"/>
      <c r="D49" s="788"/>
      <c r="E49" s="783" t="s">
        <v>634</v>
      </c>
      <c r="F49" s="784">
        <f ca="1">F7</f>
        <v>29834.269999999997</v>
      </c>
      <c r="G49" s="2088"/>
      <c r="H49" s="2091"/>
      <c r="I49" s="2381" t="s">
        <v>2345</v>
      </c>
      <c r="J49" s="2391"/>
      <c r="K49" s="2392" t="s">
        <v>2352</v>
      </c>
      <c r="L49" s="2393"/>
      <c r="O49" s="2420" t="s">
        <v>2381</v>
      </c>
      <c r="P49" s="2421" t="s">
        <v>2406</v>
      </c>
      <c r="Q49" s="2422" t="str">
        <f ca="1">J60</f>
        <v>0</v>
      </c>
      <c r="R49" s="2421" t="s">
        <v>2382</v>
      </c>
    </row>
    <row r="50" spans="1:18" s="2057" customFormat="1" ht="18" customHeight="1" thickBot="1">
      <c r="A50" s="785"/>
      <c r="B50" s="786"/>
      <c r="C50" s="787"/>
      <c r="D50" s="788"/>
      <c r="E50" s="783" t="s">
        <v>635</v>
      </c>
      <c r="F50" s="784">
        <f ca="1">F8</f>
        <v>365</v>
      </c>
      <c r="G50" s="2093"/>
      <c r="H50" s="2091"/>
      <c r="I50" s="2381" t="s">
        <v>2346</v>
      </c>
      <c r="J50" s="2394">
        <f>SUMPRODUCT((I63:I65=J47)*(J62:L62=J48)*(J63:L65))</f>
        <v>60</v>
      </c>
      <c r="K50" s="2392" t="s">
        <v>2353</v>
      </c>
      <c r="L50" s="2393"/>
      <c r="O50" s="2423" t="s">
        <v>2383</v>
      </c>
      <c r="P50" s="2421" t="s">
        <v>2407</v>
      </c>
      <c r="Q50" s="2422">
        <f ca="1">C29</f>
        <v>12395</v>
      </c>
      <c r="R50" s="2421" t="s">
        <v>2380</v>
      </c>
    </row>
    <row r="51" spans="1:18" s="2057" customFormat="1" ht="18" customHeight="1" thickBot="1">
      <c r="A51" s="785"/>
      <c r="B51" s="786"/>
      <c r="C51" s="787"/>
      <c r="D51" s="788"/>
      <c r="E51" s="783" t="s">
        <v>636</v>
      </c>
      <c r="F51" s="2369"/>
      <c r="H51" s="2091"/>
      <c r="I51" s="2382" t="s">
        <v>2347</v>
      </c>
      <c r="J51" s="2395">
        <f>IF(J49="",J50,J49+J50-YEAR('数据-取费表'!B2))</f>
        <v>60</v>
      </c>
      <c r="K51" s="2381" t="s">
        <v>2354</v>
      </c>
      <c r="L51" s="2396">
        <f ca="1">ROUND(-PV(INDIRECT("'数据-取费表'!h"&amp;$G$1),L48,(C39-C13*J36),0),0)</f>
        <v>-3044</v>
      </c>
      <c r="O51" s="2423" t="s">
        <v>2384</v>
      </c>
      <c r="P51" s="2421" t="s">
        <v>2385</v>
      </c>
      <c r="Q51" s="2424" t="e">
        <f ca="1">J58</f>
        <v>#VALUE!</v>
      </c>
      <c r="R51" s="2425"/>
    </row>
    <row r="52" spans="1:18" s="2057" customFormat="1" ht="18" customHeight="1" thickBot="1">
      <c r="A52" s="780" t="s">
        <v>2536</v>
      </c>
      <c r="B52" s="2516" t="s">
        <v>2459</v>
      </c>
      <c r="C52" s="798">
        <f ca="1">ROUND(IF(F52="押一",C48/12*F11,IF(F52="押二",C48/12*2*F11,IF(F52="押三",C48/12*3*F11,C53*F11))),0)</f>
        <v>0</v>
      </c>
      <c r="D52" s="2523" t="s">
        <v>2976</v>
      </c>
      <c r="E52" s="2520" t="s">
        <v>2464</v>
      </c>
      <c r="F52" s="2643"/>
      <c r="I52" s="2383" t="s">
        <v>2421</v>
      </c>
      <c r="J52" s="2397"/>
      <c r="K52" s="2383" t="s">
        <v>2420</v>
      </c>
      <c r="L52" s="2397"/>
      <c r="O52" s="2423" t="s">
        <v>2386</v>
      </c>
      <c r="P52" s="2421" t="s">
        <v>2387</v>
      </c>
      <c r="Q52" s="2424">
        <f>J52</f>
        <v>0</v>
      </c>
      <c r="R52" s="2425"/>
    </row>
    <row r="53" spans="1:18" s="2057" customFormat="1" ht="39.75" customHeight="1" thickBot="1">
      <c r="A53" s="785"/>
      <c r="B53" s="2517" t="s">
        <v>2573</v>
      </c>
      <c r="C53" s="2521"/>
      <c r="D53" s="2523"/>
      <c r="E53" s="2520"/>
      <c r="F53" s="799"/>
      <c r="I53" s="2384" t="s">
        <v>2348</v>
      </c>
      <c r="J53" s="2398">
        <f ca="1">IF(M47="住宅",J51,IF(D1="——",MIN(J51,L48),IF(D1="土地（套用方法）",MIN(J51,L48-'数据-取费表'!B20))))</f>
        <v>47.32</v>
      </c>
      <c r="K53" s="3515" t="s">
        <v>2968</v>
      </c>
      <c r="L53" s="3516"/>
      <c r="O53" s="2423" t="s">
        <v>2388</v>
      </c>
      <c r="P53" s="2421" t="s">
        <v>2389</v>
      </c>
      <c r="Q53" s="2422">
        <f ca="1">J53</f>
        <v>47.32</v>
      </c>
      <c r="R53" s="2421" t="s">
        <v>2390</v>
      </c>
    </row>
    <row r="54" spans="1:18" s="2057" customFormat="1" ht="18" customHeight="1" thickBot="1">
      <c r="A54" s="2559" t="s">
        <v>2467</v>
      </c>
      <c r="B54" s="2560" t="s">
        <v>2460</v>
      </c>
      <c r="C54" s="2561"/>
      <c r="D54" s="2523"/>
      <c r="E54" s="2520"/>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420" t="s">
        <v>2391</v>
      </c>
      <c r="P54" s="2421" t="s">
        <v>2408</v>
      </c>
      <c r="Q54" s="2422">
        <f ca="1">Q48+Q49</f>
        <v>22776</v>
      </c>
      <c r="R54" s="2425" t="s">
        <v>2392</v>
      </c>
    </row>
    <row r="55" spans="1:18" s="2057" customFormat="1" ht="18" customHeight="1" thickTop="1" thickBot="1">
      <c r="A55" s="796">
        <v>2</v>
      </c>
      <c r="B55" s="797" t="s">
        <v>640</v>
      </c>
      <c r="C55" s="798">
        <f ca="1">C13</f>
        <v>12395</v>
      </c>
      <c r="D55" s="794"/>
      <c r="E55" s="794"/>
      <c r="F55" s="799"/>
      <c r="I55" s="3121" t="s">
        <v>2355</v>
      </c>
      <c r="J55" s="3120" t="e">
        <f ca="1">ROUND(IF(J47="钢混",J57/J50,1-(1-2%)*(J50-J57)/J50),3)</f>
        <v>#VALUE!</v>
      </c>
      <c r="K55" s="2399" t="s">
        <v>2356</v>
      </c>
      <c r="L55" s="2400"/>
      <c r="O55" s="2426" t="s">
        <v>2411</v>
      </c>
      <c r="P55" s="1589"/>
      <c r="Q55" s="1601"/>
      <c r="R55" s="1589"/>
    </row>
    <row r="56" spans="1:18" s="2057" customFormat="1" ht="42.75" customHeight="1" thickBot="1">
      <c r="A56" s="1647"/>
      <c r="B56" s="2229" t="s">
        <v>2299</v>
      </c>
      <c r="C56" s="53">
        <f ca="1">C29</f>
        <v>12395</v>
      </c>
      <c r="D56" s="3178"/>
      <c r="E56" s="783"/>
      <c r="F56" s="808"/>
      <c r="I56" s="2401" t="s">
        <v>2357</v>
      </c>
      <c r="J56" s="3144" t="s">
        <v>1675</v>
      </c>
      <c r="K56" s="2381" t="s">
        <v>2362</v>
      </c>
      <c r="L56" s="2390" t="str">
        <f ca="1">IF(L48&lt;J51,"——",L48-J51)</f>
        <v>——</v>
      </c>
      <c r="O56" s="2417" t="s">
        <v>2375</v>
      </c>
      <c r="P56" s="2418" t="s">
        <v>2376</v>
      </c>
      <c r="Q56" s="2419" t="s">
        <v>2377</v>
      </c>
      <c r="R56" s="2418" t="s">
        <v>2378</v>
      </c>
    </row>
    <row r="57" spans="1:18" s="2057" customFormat="1" ht="28.5" customHeight="1" thickBot="1">
      <c r="A57" s="796" t="s">
        <v>1745</v>
      </c>
      <c r="B57" s="797" t="s">
        <v>647</v>
      </c>
      <c r="C57" s="798">
        <f ca="1">ROUND(C58+C63+C64+C65,0)</f>
        <v>206</v>
      </c>
      <c r="D57" s="26" t="s">
        <v>648</v>
      </c>
      <c r="E57" s="3180"/>
      <c r="F57" s="56"/>
      <c r="I57" s="2402" t="s">
        <v>2358</v>
      </c>
      <c r="J57" s="2404" t="str">
        <f ca="1">IF(OR(M47="住宅",J51&lt;L48,J56="是"),"——",J51-L48)</f>
        <v>——</v>
      </c>
      <c r="K57" s="2381" t="s">
        <v>2363</v>
      </c>
      <c r="L57" s="2390" t="str">
        <f ca="1">IF(L48&lt;J51,"——",IF(L55="比较法",L49,IF(L55="基准地价",L50,L51)))</f>
        <v>——</v>
      </c>
      <c r="O57" s="2420" t="s">
        <v>2379</v>
      </c>
      <c r="P57" s="2421" t="s">
        <v>2405</v>
      </c>
      <c r="Q57" s="2422">
        <f ca="1">C40+J29</f>
        <v>22776</v>
      </c>
      <c r="R57" s="2421" t="s">
        <v>2380</v>
      </c>
    </row>
    <row r="58" spans="1:18" s="2057" customFormat="1" ht="28.5" customHeight="1" thickBot="1">
      <c r="A58" s="1646" t="s">
        <v>1821</v>
      </c>
      <c r="B58" s="783" t="s">
        <v>652</v>
      </c>
      <c r="C58" s="53">
        <f ca="1">ROUND(IF(项目基本情况!B11="自然人",C47*F58,C59+C60+C61),1)</f>
        <v>1.8</v>
      </c>
      <c r="D58" s="3177" t="s">
        <v>653</v>
      </c>
      <c r="E58" s="3178" t="s">
        <v>686</v>
      </c>
      <c r="F58" s="809" t="str">
        <f ca="1">IF(项目基本情况!B11="企业","",IF(INDIRECT("'数据-取费表'!c"&amp;$G$1)="住宅",5%,IF(F48*F49*F50/12/(1+'数据-取费表'!C42)&gt;20000,12%,7%)))</f>
        <v/>
      </c>
      <c r="I58" s="2402" t="s">
        <v>2359</v>
      </c>
      <c r="J58" s="3122" t="e">
        <f ca="1">IF(J55&lt;0.4,0.4,J55)</f>
        <v>#VALUE!</v>
      </c>
      <c r="K58" s="2381" t="s">
        <v>2364</v>
      </c>
      <c r="L58" s="2390" t="e">
        <f ca="1">ROUND(POWER(1+L52,L47-L48)*(POWER(1+L52,L48)-1)/(POWER(1+L52,L47)-1),4)</f>
        <v>#DIV/0!</v>
      </c>
      <c r="O58" s="2420" t="s">
        <v>2381</v>
      </c>
      <c r="P58" s="2421" t="s">
        <v>2412</v>
      </c>
      <c r="Q58" s="2422">
        <f ca="1">L60</f>
        <v>0</v>
      </c>
      <c r="R58" s="2425" t="s">
        <v>2414</v>
      </c>
    </row>
    <row r="59" spans="1:18" s="2057" customFormat="1" ht="28.5" customHeight="1" thickBot="1">
      <c r="A59" s="1645" t="s">
        <v>1828</v>
      </c>
      <c r="B59" s="783" t="s">
        <v>656</v>
      </c>
      <c r="C59" s="53">
        <f ca="1">ROUND(C47*F59/1.05,1)</f>
        <v>0</v>
      </c>
      <c r="D59" s="3178" t="s">
        <v>657</v>
      </c>
      <c r="E59" s="783" t="s">
        <v>645</v>
      </c>
      <c r="F59" s="808">
        <f t="shared" ref="F59:F65" si="0">F32</f>
        <v>5.5000000000000007E-2</v>
      </c>
      <c r="I59" s="2402" t="s">
        <v>2360</v>
      </c>
      <c r="J59" s="2404" t="str">
        <f ca="1">IF(OR(M47="住宅",J51&lt;L48,J56="是"),"——",ROUND(C29*J58,0))</f>
        <v>——</v>
      </c>
      <c r="K59" s="3151" t="str">
        <f>IF(D1="——","建筑物剩余耐用年限下的土地年期修正系数Kn","建设期及建筑物耐用年限下的土地年期修正系数Kn")</f>
        <v>建设期及建筑物耐用年限下的土地年期修正系数Kn</v>
      </c>
      <c r="L59" s="2390" t="e">
        <f ca="1">ROUND(IF(D1="土地（套用方法）",POWER(1+L52,L47-(J51+'数据-取费表'!B20))*(POWER(1+L52,(J51+'数据-取费表'!B20))-1)/(POWER(1+L52,L47)-1),POWER(1+L52,L47-J51)*(POWER(1+L52,J51)-1)/(POWER(1+L52,L47)-1)),4)</f>
        <v>#DIV/0!</v>
      </c>
      <c r="O59" s="2423" t="s">
        <v>2383</v>
      </c>
      <c r="P59" s="2421" t="s">
        <v>2413</v>
      </c>
      <c r="Q59" s="2422">
        <f>IF(L55="比较法",L49,IF(L55="基准地价",L50,0))</f>
        <v>0</v>
      </c>
      <c r="R59" s="2421" t="s">
        <v>2380</v>
      </c>
    </row>
    <row r="60" spans="1:18" s="2057" customFormat="1" ht="18" customHeight="1" thickBot="1">
      <c r="A60" s="1645" t="s">
        <v>1829</v>
      </c>
      <c r="B60" s="783" t="s">
        <v>660</v>
      </c>
      <c r="C60" s="53">
        <f ca="1">IF(D60="按租金收入计税",ROUND(C47*F60,1),IF(D60="按房产原值计税",ROUND(C56*F60*0.7,1),INDIRECT("'数据-取费表'!Aj"&amp;$G$1)))</f>
        <v>0</v>
      </c>
      <c r="D60" s="3178" t="str">
        <f>D33</f>
        <v>按租金收入计税</v>
      </c>
      <c r="E60" s="783" t="s">
        <v>645</v>
      </c>
      <c r="F60" s="808">
        <f t="shared" si="0"/>
        <v>0.12</v>
      </c>
      <c r="I60" s="2403" t="s">
        <v>2361</v>
      </c>
      <c r="J60" s="2405" t="str">
        <f ca="1">IF(OR(M47="住宅",J51&lt;L48,J56="是"),"0",ROUND(J59/(1+J52)^J53,0))</f>
        <v>0</v>
      </c>
      <c r="K60" s="2406" t="s">
        <v>2366</v>
      </c>
      <c r="L60" s="2405">
        <f ca="1">IF(OR(M47="住宅",L48&lt;J51),0,ROUND(L57*(L58/L59-1),0))</f>
        <v>0</v>
      </c>
      <c r="O60" s="2423" t="s">
        <v>2384</v>
      </c>
      <c r="P60" s="2421" t="s">
        <v>2393</v>
      </c>
      <c r="Q60" s="2424">
        <f>L52</f>
        <v>0</v>
      </c>
      <c r="R60" s="2425"/>
    </row>
    <row r="61" spans="1:18" s="2057" customFormat="1" ht="18" customHeight="1" thickBot="1">
      <c r="A61" s="1648" t="s">
        <v>1830</v>
      </c>
      <c r="B61" s="340" t="s">
        <v>664</v>
      </c>
      <c r="C61" s="54">
        <f ca="1">ROUND(F61*F62/10000,1)</f>
        <v>1.8</v>
      </c>
      <c r="D61" s="813" t="s">
        <v>665</v>
      </c>
      <c r="E61" s="783" t="s">
        <v>666</v>
      </c>
      <c r="F61" s="639">
        <f t="shared" si="0"/>
        <v>1.5</v>
      </c>
      <c r="K61" s="2084"/>
      <c r="O61" s="2423" t="s">
        <v>2386</v>
      </c>
      <c r="P61" s="2421" t="s">
        <v>2394</v>
      </c>
      <c r="Q61" s="2422" t="e">
        <f ca="1">L58</f>
        <v>#DIV/0!</v>
      </c>
      <c r="R61" s="2425" t="s">
        <v>2395</v>
      </c>
    </row>
    <row r="62" spans="1:18" s="2057" customFormat="1" ht="15.75" thickBot="1">
      <c r="A62" s="814"/>
      <c r="B62" s="792"/>
      <c r="C62" s="69"/>
      <c r="D62" s="815"/>
      <c r="E62" s="783" t="s">
        <v>670</v>
      </c>
      <c r="F62" s="784">
        <f t="shared" ca="1" si="0"/>
        <v>12073.539999999999</v>
      </c>
      <c r="I62" s="2407" t="s">
        <v>2367</v>
      </c>
      <c r="J62" s="2408" t="s">
        <v>2368</v>
      </c>
      <c r="K62" s="2408" t="s">
        <v>2369</v>
      </c>
      <c r="L62" s="2408" t="s">
        <v>2350</v>
      </c>
      <c r="M62" s="3123" t="s">
        <v>2943</v>
      </c>
      <c r="O62" s="2423" t="s">
        <v>2388</v>
      </c>
      <c r="P62" s="2421" t="str">
        <f>K59</f>
        <v>建设期及建筑物耐用年限下的土地年期修正系数Kn</v>
      </c>
      <c r="Q62" s="2422" t="e">
        <f ca="1">L59</f>
        <v>#DIV/0!</v>
      </c>
      <c r="R62" s="2425" t="s">
        <v>2397</v>
      </c>
    </row>
    <row r="63" spans="1:18" s="2057" customFormat="1" ht="15.75" thickBot="1">
      <c r="A63" s="1646" t="s">
        <v>1886</v>
      </c>
      <c r="B63" s="783" t="s">
        <v>672</v>
      </c>
      <c r="C63" s="53">
        <f ca="1">ROUND(C56*F63,1)</f>
        <v>185.9</v>
      </c>
      <c r="D63" s="3178" t="s">
        <v>687</v>
      </c>
      <c r="E63" s="783" t="s">
        <v>645</v>
      </c>
      <c r="F63" s="816">
        <f t="shared" ca="1" si="0"/>
        <v>1.4999999999999999E-2</v>
      </c>
      <c r="I63" s="2407" t="s">
        <v>2370</v>
      </c>
      <c r="J63" s="2408">
        <v>70</v>
      </c>
      <c r="K63" s="2408">
        <v>50</v>
      </c>
      <c r="L63" s="2408">
        <v>80</v>
      </c>
      <c r="M63" s="3124">
        <v>0.02</v>
      </c>
      <c r="O63" s="2420" t="s">
        <v>2391</v>
      </c>
      <c r="P63" s="2421" t="s">
        <v>2408</v>
      </c>
      <c r="Q63" s="2422">
        <f ca="1">Q57+Q58</f>
        <v>22776</v>
      </c>
      <c r="R63" s="2425" t="s">
        <v>2392</v>
      </c>
    </row>
    <row r="64" spans="1:18" s="2057" customFormat="1" ht="16.5" thickBot="1">
      <c r="A64" s="1646" t="s">
        <v>1887</v>
      </c>
      <c r="B64" s="783" t="s">
        <v>675</v>
      </c>
      <c r="C64" s="53">
        <f ca="1">ROUND(C55*F64,1)</f>
        <v>18.600000000000001</v>
      </c>
      <c r="D64" s="3178" t="s">
        <v>676</v>
      </c>
      <c r="E64" s="783" t="s">
        <v>645</v>
      </c>
      <c r="F64" s="817">
        <f t="shared" ca="1" si="0"/>
        <v>1.5E-3</v>
      </c>
      <c r="I64" s="2407" t="s">
        <v>2371</v>
      </c>
      <c r="J64" s="2408">
        <v>50</v>
      </c>
      <c r="K64" s="2408">
        <v>35</v>
      </c>
      <c r="L64" s="2408">
        <v>60</v>
      </c>
      <c r="M64" s="3125">
        <v>0</v>
      </c>
      <c r="O64" s="2426" t="s">
        <v>2415</v>
      </c>
      <c r="P64" s="1589"/>
      <c r="Q64" s="1601"/>
      <c r="R64" s="1589"/>
    </row>
    <row r="65" spans="1:18" s="2057" customFormat="1" ht="15.75" thickBot="1">
      <c r="A65" s="1646" t="s">
        <v>1888</v>
      </c>
      <c r="B65" s="783" t="s">
        <v>662</v>
      </c>
      <c r="C65" s="53">
        <f ca="1">ROUND(C47*F65,1)</f>
        <v>0</v>
      </c>
      <c r="D65" s="3178" t="s">
        <v>679</v>
      </c>
      <c r="E65" s="783" t="s">
        <v>645</v>
      </c>
      <c r="F65" s="793">
        <f t="shared" ca="1" si="0"/>
        <v>0.01</v>
      </c>
      <c r="I65" s="2407" t="s">
        <v>2372</v>
      </c>
      <c r="J65" s="2408">
        <v>40</v>
      </c>
      <c r="K65" s="2408">
        <v>30</v>
      </c>
      <c r="L65" s="2408">
        <v>50</v>
      </c>
      <c r="M65" s="3124">
        <v>0.02</v>
      </c>
      <c r="O65" s="2417" t="s">
        <v>2375</v>
      </c>
      <c r="P65" s="2418" t="s">
        <v>2376</v>
      </c>
      <c r="Q65" s="2419" t="s">
        <v>2377</v>
      </c>
      <c r="R65" s="2418" t="s">
        <v>2378</v>
      </c>
    </row>
    <row r="66" spans="1:18" s="2057" customFormat="1" ht="24.75" thickBot="1">
      <c r="A66" s="796" t="s">
        <v>1773</v>
      </c>
      <c r="B66" s="3033" t="s">
        <v>2822</v>
      </c>
      <c r="C66" s="798">
        <f ca="1">C47-C57</f>
        <v>-206</v>
      </c>
      <c r="D66" s="3177" t="s">
        <v>696</v>
      </c>
      <c r="E66" s="3175"/>
      <c r="F66" s="819"/>
      <c r="K66" s="2084"/>
      <c r="O66" s="2420" t="s">
        <v>2379</v>
      </c>
      <c r="P66" s="2421" t="s">
        <v>2405</v>
      </c>
      <c r="Q66" s="2422">
        <f ca="1">C40+J29</f>
        <v>22776</v>
      </c>
      <c r="R66" s="2421" t="s">
        <v>2380</v>
      </c>
    </row>
    <row r="67" spans="1:18" s="2057" customFormat="1" ht="20.25" thickBot="1">
      <c r="A67" s="780" t="s">
        <v>1777</v>
      </c>
      <c r="B67" s="2230" t="s">
        <v>2300</v>
      </c>
      <c r="C67" s="782">
        <f ca="1">ROUND(C66*(1-((1+F69)/(1+F67))^F68)/(F67-F69),0)</f>
        <v>-3711</v>
      </c>
      <c r="D67" s="813" t="s">
        <v>700</v>
      </c>
      <c r="E67" s="783" t="s">
        <v>701</v>
      </c>
      <c r="F67" s="793">
        <f ca="1">F40</f>
        <v>0.05</v>
      </c>
      <c r="K67" s="2084"/>
      <c r="O67" s="2420" t="s">
        <v>2381</v>
      </c>
      <c r="P67" s="2421" t="s">
        <v>2412</v>
      </c>
      <c r="Q67" s="2422">
        <f ca="1">L60</f>
        <v>0</v>
      </c>
      <c r="R67" s="2425" t="s">
        <v>2414</v>
      </c>
    </row>
    <row r="68" spans="1:18" ht="21.75" thickBot="1">
      <c r="A68" s="785"/>
      <c r="B68" s="786"/>
      <c r="C68" s="787"/>
      <c r="D68" s="820" t="s">
        <v>1805</v>
      </c>
      <c r="E68" s="783" t="s">
        <v>704</v>
      </c>
      <c r="F68" s="821">
        <f ca="1">F41</f>
        <v>47.32</v>
      </c>
      <c r="O68" s="2423" t="s">
        <v>2383</v>
      </c>
      <c r="P68" s="2421" t="s">
        <v>2413</v>
      </c>
      <c r="Q68" s="2427">
        <f ca="1">L51</f>
        <v>-3044</v>
      </c>
      <c r="R68" s="2428" t="s">
        <v>2416</v>
      </c>
    </row>
    <row r="69" spans="1:18" ht="20.25" thickBot="1">
      <c r="A69" s="789"/>
      <c r="B69" s="790"/>
      <c r="C69" s="791"/>
      <c r="D69" s="815"/>
      <c r="E69" s="783" t="s">
        <v>706</v>
      </c>
      <c r="F69" s="2369"/>
      <c r="O69" s="2423" t="s">
        <v>2384</v>
      </c>
      <c r="P69" s="2429" t="s">
        <v>2398</v>
      </c>
      <c r="Q69" s="2422">
        <f ca="1">ROUND(Q70-Q71*Q72,0)</f>
        <v>-155</v>
      </c>
      <c r="R69" s="2425"/>
    </row>
    <row r="70" spans="1:18" ht="15.75" thickBot="1">
      <c r="A70" s="822" t="s">
        <v>1784</v>
      </c>
      <c r="B70" s="823" t="s">
        <v>1807</v>
      </c>
      <c r="C70" s="824">
        <f ca="1">ROUND(C67*10000/F70,0)</f>
        <v>-1244</v>
      </c>
      <c r="D70" s="825" t="s">
        <v>1808</v>
      </c>
      <c r="E70" s="826" t="s">
        <v>1809</v>
      </c>
      <c r="F70" s="827">
        <f ca="1">F43</f>
        <v>29834.269999999997</v>
      </c>
      <c r="O70" s="2423" t="s">
        <v>2399</v>
      </c>
      <c r="P70" s="2429" t="s">
        <v>2400</v>
      </c>
      <c r="Q70" s="2422">
        <f ca="1">C39</f>
        <v>837</v>
      </c>
      <c r="R70" s="2421" t="s">
        <v>2380</v>
      </c>
    </row>
    <row r="71" spans="1:18" ht="15.75" thickBot="1">
      <c r="O71" s="2423" t="s">
        <v>2401</v>
      </c>
      <c r="P71" s="2429" t="s">
        <v>2402</v>
      </c>
      <c r="Q71" s="2422">
        <f ca="1">C13</f>
        <v>12395</v>
      </c>
      <c r="R71" s="2421" t="s">
        <v>2380</v>
      </c>
    </row>
    <row r="72" spans="1:18" ht="15.75" thickBot="1">
      <c r="O72" s="2423" t="s">
        <v>2403</v>
      </c>
      <c r="P72" s="2429" t="s">
        <v>2404</v>
      </c>
      <c r="Q72" s="2424">
        <f ca="1">J36</f>
        <v>0.08</v>
      </c>
      <c r="R72" s="2425"/>
    </row>
    <row r="73" spans="1:18" ht="15.75" thickBot="1">
      <c r="O73" s="2423" t="s">
        <v>2386</v>
      </c>
      <c r="P73" s="2421" t="s">
        <v>2393</v>
      </c>
      <c r="Q73" s="2424">
        <f>L52</f>
        <v>0</v>
      </c>
      <c r="R73" s="2425"/>
    </row>
    <row r="74" spans="1:18" ht="20.25" thickBot="1">
      <c r="O74" s="2423" t="s">
        <v>2388</v>
      </c>
      <c r="P74" s="2421" t="s">
        <v>2394</v>
      </c>
      <c r="Q74" s="2422" t="e">
        <f ca="1">L58</f>
        <v>#DIV/0!</v>
      </c>
      <c r="R74" s="2425" t="s">
        <v>2395</v>
      </c>
    </row>
    <row r="75" spans="1:18" ht="15.75" thickBot="1">
      <c r="O75" s="2423" t="s">
        <v>2417</v>
      </c>
      <c r="P75" s="2421" t="str">
        <f>K59</f>
        <v>建设期及建筑物耐用年限下的土地年期修正系数Kn</v>
      </c>
      <c r="Q75" s="2422" t="e">
        <f ca="1">L59</f>
        <v>#DIV/0!</v>
      </c>
      <c r="R75" s="2425" t="s">
        <v>2397</v>
      </c>
    </row>
    <row r="76" spans="1:18" ht="15.75" thickBot="1">
      <c r="O76" s="2420" t="s">
        <v>2391</v>
      </c>
      <c r="P76" s="2421" t="s">
        <v>2408</v>
      </c>
      <c r="Q76" s="2422">
        <f ca="1">Q66+Q67</f>
        <v>22776</v>
      </c>
      <c r="R76" s="2425"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7" t="s">
        <v>2471</v>
      </c>
      <c r="B1" s="3518"/>
      <c r="C1" s="3519"/>
      <c r="D1" s="3520">
        <f>SUM(I10,I15,I20,I21,I23)</f>
        <v>0</v>
      </c>
      <c r="E1" s="3520"/>
      <c r="F1" s="3520"/>
      <c r="G1" s="3520"/>
      <c r="H1" s="3520"/>
      <c r="I1" s="3521"/>
    </row>
    <row r="2" spans="1:9">
      <c r="A2" s="3522" t="s">
        <v>2472</v>
      </c>
      <c r="B2" s="3523" t="s">
        <v>2473</v>
      </c>
      <c r="C2" s="3523"/>
      <c r="D2" s="2529" t="s">
        <v>2474</v>
      </c>
      <c r="E2" s="2529" t="s">
        <v>2475</v>
      </c>
      <c r="F2" s="2529" t="s">
        <v>2476</v>
      </c>
      <c r="G2" s="2529" t="s">
        <v>2477</v>
      </c>
      <c r="H2" s="2529" t="s">
        <v>2478</v>
      </c>
      <c r="I2" s="2530" t="s">
        <v>2479</v>
      </c>
    </row>
    <row r="3" spans="1:9">
      <c r="A3" s="3522"/>
      <c r="B3" s="3523" t="s">
        <v>2480</v>
      </c>
      <c r="C3" s="3523"/>
      <c r="D3" s="2531"/>
      <c r="E3" s="2529"/>
      <c r="F3" s="2532"/>
      <c r="G3" s="2532"/>
      <c r="H3" s="2533"/>
      <c r="I3" s="2534">
        <f>ROUND(D3*E3*F3*G3*H3/10000,0)</f>
        <v>0</v>
      </c>
    </row>
    <row r="4" spans="1:9">
      <c r="A4" s="3522"/>
      <c r="B4" s="3523" t="s">
        <v>2481</v>
      </c>
      <c r="C4" s="3523"/>
      <c r="D4" s="2531"/>
      <c r="E4" s="2529"/>
      <c r="F4" s="2532"/>
      <c r="G4" s="2532"/>
      <c r="H4" s="2533"/>
      <c r="I4" s="2534">
        <f t="shared" ref="I4:I9" si="0">ROUND(D4*E4*F4*G4*H4/10000,0)</f>
        <v>0</v>
      </c>
    </row>
    <row r="5" spans="1:9">
      <c r="A5" s="3522"/>
      <c r="B5" s="3523" t="s">
        <v>2482</v>
      </c>
      <c r="C5" s="3523"/>
      <c r="D5" s="2531"/>
      <c r="E5" s="2529"/>
      <c r="F5" s="2532"/>
      <c r="G5" s="2532"/>
      <c r="H5" s="2533"/>
      <c r="I5" s="2534">
        <f t="shared" si="0"/>
        <v>0</v>
      </c>
    </row>
    <row r="6" spans="1:9">
      <c r="A6" s="3522"/>
      <c r="B6" s="3523" t="s">
        <v>2483</v>
      </c>
      <c r="C6" s="3523"/>
      <c r="D6" s="2531"/>
      <c r="E6" s="2529"/>
      <c r="F6" s="2532"/>
      <c r="G6" s="2532"/>
      <c r="H6" s="2533"/>
      <c r="I6" s="2534">
        <f t="shared" si="0"/>
        <v>0</v>
      </c>
    </row>
    <row r="7" spans="1:9">
      <c r="A7" s="3522"/>
      <c r="B7" s="3523" t="s">
        <v>2484</v>
      </c>
      <c r="C7" s="3523"/>
      <c r="D7" s="2531"/>
      <c r="E7" s="2529"/>
      <c r="F7" s="2532"/>
      <c r="G7" s="2532"/>
      <c r="H7" s="2533"/>
      <c r="I7" s="2534">
        <f t="shared" si="0"/>
        <v>0</v>
      </c>
    </row>
    <row r="8" spans="1:9">
      <c r="A8" s="3522"/>
      <c r="B8" s="3523" t="s">
        <v>2485</v>
      </c>
      <c r="C8" s="3523"/>
      <c r="D8" s="2531"/>
      <c r="E8" s="2529"/>
      <c r="F8" s="2532"/>
      <c r="G8" s="2532"/>
      <c r="H8" s="2533"/>
      <c r="I8" s="2534">
        <f t="shared" si="0"/>
        <v>0</v>
      </c>
    </row>
    <row r="9" spans="1:9">
      <c r="A9" s="3522"/>
      <c r="B9" s="3523" t="s">
        <v>2486</v>
      </c>
      <c r="C9" s="3523"/>
      <c r="D9" s="2531"/>
      <c r="E9" s="2529"/>
      <c r="F9" s="2532"/>
      <c r="G9" s="2532"/>
      <c r="H9" s="2533"/>
      <c r="I9" s="2534">
        <f t="shared" si="0"/>
        <v>0</v>
      </c>
    </row>
    <row r="10" spans="1:9">
      <c r="A10" s="3522"/>
      <c r="B10" s="3524" t="s">
        <v>2487</v>
      </c>
      <c r="C10" s="3524"/>
      <c r="D10" s="2535">
        <v>527</v>
      </c>
      <c r="E10" s="2535" t="e">
        <f>ROUND(D1*10000/D10/H9,0)</f>
        <v>#DIV/0!</v>
      </c>
      <c r="F10" s="2536"/>
      <c r="G10" s="2536"/>
      <c r="H10" s="2537"/>
      <c r="I10" s="2538">
        <f>SUM(I3:I9)</f>
        <v>0</v>
      </c>
    </row>
    <row r="11" spans="1:9" ht="14.25">
      <c r="A11" s="3522" t="s">
        <v>2488</v>
      </c>
      <c r="B11" s="3523" t="s">
        <v>2489</v>
      </c>
      <c r="C11" s="3523"/>
      <c r="D11" s="2531" t="s">
        <v>2490</v>
      </c>
      <c r="E11" s="2531" t="s">
        <v>2491</v>
      </c>
      <c r="F11" s="2532" t="s">
        <v>2492</v>
      </c>
      <c r="G11" s="2532" t="s">
        <v>2493</v>
      </c>
      <c r="H11" s="2539" t="s">
        <v>2494</v>
      </c>
      <c r="I11" s="2530" t="s">
        <v>2495</v>
      </c>
    </row>
    <row r="12" spans="1:9">
      <c r="A12" s="3522"/>
      <c r="B12" s="3523" t="s">
        <v>2496</v>
      </c>
      <c r="C12" s="3523"/>
      <c r="D12" s="2531"/>
      <c r="E12" s="2531"/>
      <c r="F12" s="2532"/>
      <c r="G12" s="2533"/>
      <c r="H12" s="2540"/>
      <c r="I12" s="2530">
        <f>ROUND(D12*E12*F12*G12/10000,0)</f>
        <v>0</v>
      </c>
    </row>
    <row r="13" spans="1:9">
      <c r="A13" s="3522"/>
      <c r="B13" s="3523" t="s">
        <v>2497</v>
      </c>
      <c r="C13" s="3523"/>
      <c r="D13" s="2531"/>
      <c r="E13" s="2531"/>
      <c r="F13" s="2532"/>
      <c r="G13" s="2533"/>
      <c r="H13" s="2540"/>
      <c r="I13" s="2530">
        <f>ROUND(D13*E13*F13*G13/10000,0)</f>
        <v>0</v>
      </c>
    </row>
    <row r="14" spans="1:9">
      <c r="A14" s="3522"/>
      <c r="B14" s="3523" t="s">
        <v>2498</v>
      </c>
      <c r="C14" s="3523"/>
      <c r="D14" s="2531"/>
      <c r="E14" s="2531"/>
      <c r="F14" s="2532"/>
      <c r="G14" s="2533"/>
      <c r="H14" s="2540"/>
      <c r="I14" s="2530">
        <f>ROUND(D14*E14*F14*G14/10000,0)</f>
        <v>0</v>
      </c>
    </row>
    <row r="15" spans="1:9">
      <c r="A15" s="3522"/>
      <c r="B15" s="3524" t="s">
        <v>2487</v>
      </c>
      <c r="C15" s="3524"/>
      <c r="D15" s="2535"/>
      <c r="E15" s="2535">
        <f>SUM(E12:E14)</f>
        <v>0</v>
      </c>
      <c r="F15" s="2536"/>
      <c r="G15" s="2533"/>
      <c r="H15" s="2540"/>
      <c r="I15" s="2541">
        <f>SUM(I12:I14)</f>
        <v>0</v>
      </c>
    </row>
    <row r="16" spans="1:9" ht="24">
      <c r="A16" s="3522" t="s">
        <v>2499</v>
      </c>
      <c r="B16" s="3523" t="s">
        <v>2500</v>
      </c>
      <c r="C16" s="3523"/>
      <c r="D16" s="2531" t="s">
        <v>2501</v>
      </c>
      <c r="E16" s="2542" t="s">
        <v>2502</v>
      </c>
      <c r="F16" s="2532" t="s">
        <v>2503</v>
      </c>
      <c r="G16" s="2533" t="s">
        <v>2493</v>
      </c>
      <c r="H16" s="2539" t="s">
        <v>2494</v>
      </c>
      <c r="I16" s="2530" t="s">
        <v>2495</v>
      </c>
    </row>
    <row r="17" spans="1:9" ht="14.25">
      <c r="A17" s="3522"/>
      <c r="B17" s="3523" t="s">
        <v>2504</v>
      </c>
      <c r="C17" s="3523"/>
      <c r="D17" s="2531"/>
      <c r="E17" s="2531"/>
      <c r="F17" s="2532"/>
      <c r="G17" s="2533"/>
      <c r="H17" s="2543"/>
      <c r="I17" s="2544">
        <f>ROUND(D17*E17*F17*G17/10000,0)</f>
        <v>0</v>
      </c>
    </row>
    <row r="18" spans="1:9" ht="14.25">
      <c r="A18" s="3522"/>
      <c r="B18" s="3523" t="s">
        <v>2505</v>
      </c>
      <c r="C18" s="3523"/>
      <c r="D18" s="2531"/>
      <c r="E18" s="2531"/>
      <c r="F18" s="2532"/>
      <c r="G18" s="2533"/>
      <c r="H18" s="2543"/>
      <c r="I18" s="2544">
        <f>ROUND(D18*E18*F18*G18/10000,0)</f>
        <v>0</v>
      </c>
    </row>
    <row r="19" spans="1:9" ht="14.25">
      <c r="A19" s="3522"/>
      <c r="B19" s="3523" t="s">
        <v>2506</v>
      </c>
      <c r="C19" s="3523"/>
      <c r="D19" s="2531"/>
      <c r="E19" s="2531"/>
      <c r="F19" s="2532"/>
      <c r="G19" s="2533"/>
      <c r="H19" s="2543"/>
      <c r="I19" s="2544">
        <f>ROUND(D19*E19*F19*G19/10000,0)</f>
        <v>0</v>
      </c>
    </row>
    <row r="20" spans="1:9">
      <c r="A20" s="3522"/>
      <c r="B20" s="3524" t="s">
        <v>2487</v>
      </c>
      <c r="C20" s="3524"/>
      <c r="D20" s="2535">
        <f>SUM(D17:D19)</f>
        <v>0</v>
      </c>
      <c r="E20" s="2535"/>
      <c r="F20" s="2536"/>
      <c r="G20" s="2533"/>
      <c r="H20" s="2540"/>
      <c r="I20" s="2541">
        <f>SUM(I17:I19)</f>
        <v>0</v>
      </c>
    </row>
    <row r="21" spans="1:9">
      <c r="A21" s="3522" t="s">
        <v>2507</v>
      </c>
      <c r="B21" s="3526"/>
      <c r="C21" s="3526"/>
      <c r="D21" s="3526"/>
      <c r="E21" s="3526"/>
      <c r="F21" s="3526"/>
      <c r="G21" s="3526"/>
      <c r="H21" s="2545">
        <v>0.1</v>
      </c>
      <c r="I21" s="2538">
        <f>ROUND(I10*H21,0)</f>
        <v>0</v>
      </c>
    </row>
    <row r="22" spans="1:9" ht="14.25">
      <c r="A22" s="3527" t="s">
        <v>2508</v>
      </c>
      <c r="B22" s="3528"/>
      <c r="C22" s="3529"/>
      <c r="D22" s="2546" t="s">
        <v>2509</v>
      </c>
      <c r="E22" s="2546" t="s">
        <v>2510</v>
      </c>
      <c r="F22" s="2547" t="s">
        <v>2511</v>
      </c>
      <c r="G22" s="2547" t="s">
        <v>2512</v>
      </c>
      <c r="H22" s="2539" t="s">
        <v>2513</v>
      </c>
      <c r="I22" s="2530" t="s">
        <v>2514</v>
      </c>
    </row>
    <row r="23" spans="1:9" ht="14.25" thickBot="1">
      <c r="A23" s="3530"/>
      <c r="B23" s="3531"/>
      <c r="C23" s="3532"/>
      <c r="D23" s="2548"/>
      <c r="E23" s="2548"/>
      <c r="F23" s="2548"/>
      <c r="G23" s="2549"/>
      <c r="H23" s="2550"/>
      <c r="I23" s="2551">
        <f>ROUND(E23*D23*F23*(1-G23)/10000,0)</f>
        <v>0</v>
      </c>
    </row>
    <row r="26" spans="1:9">
      <c r="A26" s="2552" t="s">
        <v>2515</v>
      </c>
      <c r="B26" s="2552"/>
      <c r="C26" s="2552"/>
      <c r="D26" s="2552"/>
      <c r="E26" s="3533">
        <f>C27-C30-C31-C32</f>
        <v>0</v>
      </c>
      <c r="F26" s="3533"/>
      <c r="G26" s="3533"/>
      <c r="H26" s="3063" t="s">
        <v>2843</v>
      </c>
    </row>
    <row r="27" spans="1:9">
      <c r="A27" s="2553">
        <v>1</v>
      </c>
      <c r="B27" s="2554" t="s">
        <v>2516</v>
      </c>
      <c r="C27" s="2554"/>
      <c r="D27" s="2554"/>
      <c r="E27" s="3534"/>
      <c r="F27" s="3534"/>
      <c r="G27" s="3534"/>
    </row>
    <row r="28" spans="1:9">
      <c r="A28" s="2555" t="s">
        <v>2517</v>
      </c>
      <c r="B28" s="2554" t="s">
        <v>2518</v>
      </c>
      <c r="C28" s="2554"/>
      <c r="D28" s="2554"/>
      <c r="E28" s="3534"/>
      <c r="F28" s="3534"/>
      <c r="G28" s="3534"/>
    </row>
    <row r="29" spans="1:9">
      <c r="A29" s="2555" t="s">
        <v>2519</v>
      </c>
      <c r="B29" s="2554" t="s">
        <v>2460</v>
      </c>
      <c r="C29" s="2554"/>
      <c r="D29" s="2554"/>
      <c r="E29" s="2554" t="s">
        <v>2520</v>
      </c>
      <c r="F29" s="2554"/>
      <c r="G29" s="2554"/>
    </row>
    <row r="30" spans="1:9">
      <c r="A30" s="2553">
        <v>2</v>
      </c>
      <c r="B30" s="2554" t="s">
        <v>2521</v>
      </c>
      <c r="C30" s="2554">
        <f>C27*D30</f>
        <v>0</v>
      </c>
      <c r="D30" s="2556">
        <v>0.2</v>
      </c>
      <c r="E30" s="2554" t="s">
        <v>2522</v>
      </c>
      <c r="F30" s="2554"/>
      <c r="G30" s="2554"/>
    </row>
    <row r="31" spans="1:9">
      <c r="A31" s="2553">
        <v>3</v>
      </c>
      <c r="B31" s="2554" t="s">
        <v>2523</v>
      </c>
      <c r="C31" s="2554">
        <f>C25*D31</f>
        <v>0</v>
      </c>
      <c r="D31" s="2556">
        <v>0.15</v>
      </c>
      <c r="E31" s="2554" t="s">
        <v>2524</v>
      </c>
      <c r="F31" s="2554"/>
      <c r="G31" s="2554"/>
    </row>
    <row r="32" spans="1:9">
      <c r="A32" s="2553">
        <v>4</v>
      </c>
      <c r="B32" s="2554" t="s">
        <v>2525</v>
      </c>
      <c r="C32" s="2554">
        <f>C27*D32</f>
        <v>0</v>
      </c>
      <c r="D32" s="2556">
        <v>0.05</v>
      </c>
      <c r="E32" s="3525"/>
      <c r="F32" s="3525"/>
      <c r="G32" s="3525"/>
    </row>
    <row r="33" spans="1:7" hidden="1">
      <c r="A33" s="3535" t="s">
        <v>2526</v>
      </c>
      <c r="B33" s="3536"/>
      <c r="C33" s="3536"/>
      <c r="D33" s="3537"/>
      <c r="E33" s="3533"/>
      <c r="F33" s="3533"/>
      <c r="G33" s="3533"/>
    </row>
    <row r="34" spans="1:7" hidden="1">
      <c r="A34" s="2557">
        <v>1</v>
      </c>
      <c r="B34" s="2554" t="s">
        <v>2527</v>
      </c>
      <c r="C34" s="2554"/>
      <c r="D34" s="2554"/>
      <c r="E34" s="3534"/>
      <c r="F34" s="3534"/>
      <c r="G34" s="3534"/>
    </row>
    <row r="35" spans="1:7" hidden="1">
      <c r="A35" s="2557">
        <v>2</v>
      </c>
      <c r="B35" s="2554" t="s">
        <v>2528</v>
      </c>
      <c r="C35" s="2554"/>
      <c r="D35" s="2554"/>
      <c r="E35" s="3534"/>
      <c r="F35" s="3534"/>
      <c r="G35" s="3534"/>
    </row>
    <row r="36" spans="1:7" hidden="1">
      <c r="A36" s="2557">
        <v>3</v>
      </c>
      <c r="B36" s="2554" t="s">
        <v>2529</v>
      </c>
      <c r="C36" s="2554"/>
      <c r="D36" s="2554"/>
      <c r="E36" s="3534"/>
      <c r="F36" s="3534"/>
      <c r="G36" s="3534"/>
    </row>
    <row r="37" spans="1:7" hidden="1">
      <c r="A37" s="2557">
        <v>4</v>
      </c>
      <c r="B37" s="2554" t="s">
        <v>2530</v>
      </c>
      <c r="C37" s="2554"/>
      <c r="D37" s="2554"/>
      <c r="E37" s="3534"/>
      <c r="F37" s="3534"/>
      <c r="G37" s="3534"/>
    </row>
    <row r="38" spans="1:7" hidden="1">
      <c r="A38" s="3535" t="s">
        <v>2531</v>
      </c>
      <c r="B38" s="3536"/>
      <c r="C38" s="3536"/>
      <c r="D38" s="3537"/>
      <c r="E38" s="3533"/>
      <c r="F38" s="3533"/>
      <c r="G38" s="35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599</v>
      </c>
      <c r="B1" s="741"/>
      <c r="C1" s="2180"/>
      <c r="D1" s="2180"/>
      <c r="E1" s="2180"/>
      <c r="F1" s="2180"/>
      <c r="G1" s="2106"/>
    </row>
    <row r="2" spans="1:25" s="2057" customFormat="1" ht="18" customHeight="1">
      <c r="A2" s="422" t="s">
        <v>463</v>
      </c>
      <c r="B2" s="424">
        <f ca="1">C23</f>
        <v>0</v>
      </c>
      <c r="C2" s="2106"/>
      <c r="D2" s="2106"/>
      <c r="E2" s="2106"/>
      <c r="F2" s="2106"/>
      <c r="G2" s="2106"/>
    </row>
    <row r="3" spans="1:25" s="2057" customFormat="1" ht="18" customHeight="1">
      <c r="A3" s="1376" t="s">
        <v>1682</v>
      </c>
      <c r="B3" s="424">
        <f ca="1">ROUND(B2*10000/'数据-汇总表'!E3,0)</f>
        <v>0</v>
      </c>
      <c r="C3" s="2106"/>
      <c r="D3" s="2106"/>
      <c r="E3" s="2106"/>
      <c r="F3" s="2106"/>
      <c r="G3" s="2106"/>
    </row>
    <row r="4" spans="1:25" s="2057" customFormat="1" ht="18" customHeight="1">
      <c r="A4" s="425" t="s">
        <v>464</v>
      </c>
      <c r="B4" s="426">
        <f ca="1">ROUND(B2*10000/'数据-汇总表'!D3,0)</f>
        <v>0</v>
      </c>
      <c r="C4" s="2059"/>
      <c r="D4" s="2106"/>
      <c r="E4" s="2106"/>
      <c r="F4" s="2106"/>
      <c r="G4" s="2106"/>
    </row>
    <row r="5" spans="1:25" s="2057" customFormat="1" ht="18" customHeight="1" thickBot="1">
      <c r="A5" s="428"/>
      <c r="B5" s="429">
        <f ca="1">ROUND(B2/('数据-汇总表'!D3/666.67),0)</f>
        <v>0</v>
      </c>
      <c r="C5" s="430" t="s">
        <v>465</v>
      </c>
      <c r="D5" s="2106"/>
      <c r="E5" s="2106"/>
      <c r="F5" s="2106"/>
      <c r="G5" s="2106"/>
    </row>
    <row r="6" spans="1:25" s="2181" customFormat="1" ht="13.5" customHeight="1">
      <c r="A6" s="742"/>
      <c r="B6" s="743" t="s">
        <v>600</v>
      </c>
      <c r="C6" s="744" t="s">
        <v>601</v>
      </c>
      <c r="D6" s="744" t="s">
        <v>602</v>
      </c>
      <c r="E6" s="745" t="s">
        <v>603</v>
      </c>
      <c r="F6" s="745" t="s">
        <v>604</v>
      </c>
      <c r="G6" s="746"/>
    </row>
    <row r="7" spans="1:25" s="2181" customFormat="1" ht="13.5" customHeight="1">
      <c r="A7" s="2491">
        <v>1</v>
      </c>
      <c r="B7" s="747" t="s">
        <v>605</v>
      </c>
      <c r="C7" s="748">
        <f>C8+C9</f>
        <v>0</v>
      </c>
      <c r="D7" s="748"/>
      <c r="E7" s="749"/>
      <c r="F7" s="749"/>
      <c r="G7" s="2501"/>
    </row>
    <row r="8" spans="1:25" s="2181" customFormat="1" ht="13.5" customHeight="1">
      <c r="A8" s="2491" t="s">
        <v>2440</v>
      </c>
      <c r="B8" s="2494" t="s">
        <v>2442</v>
      </c>
      <c r="C8" s="2495"/>
      <c r="D8" s="748"/>
      <c r="E8" s="749"/>
      <c r="F8" s="749"/>
      <c r="G8" s="750"/>
    </row>
    <row r="9" spans="1:25" s="2181" customFormat="1" ht="13.5" customHeight="1">
      <c r="A9" s="2491" t="s">
        <v>2441</v>
      </c>
      <c r="B9" s="2494" t="s">
        <v>2443</v>
      </c>
      <c r="C9" s="2495"/>
      <c r="D9" s="748"/>
      <c r="E9" s="749"/>
      <c r="F9" s="749"/>
      <c r="G9" s="750"/>
    </row>
    <row r="10" spans="1:25" s="2181" customFormat="1" ht="36">
      <c r="A10" s="2491">
        <v>2</v>
      </c>
      <c r="B10" s="747" t="s">
        <v>609</v>
      </c>
      <c r="C10" s="748">
        <f>C11+C14+C15</f>
        <v>0</v>
      </c>
      <c r="D10" s="759">
        <f>'数据-汇总表'!E3</f>
        <v>181951.64</v>
      </c>
      <c r="E10" s="748">
        <f>'数据-取费表'!B31</f>
        <v>130</v>
      </c>
      <c r="F10" s="760"/>
      <c r="G10" s="758" t="s">
        <v>610</v>
      </c>
    </row>
    <row r="11" spans="1:25" s="2181" customFormat="1" ht="13.5" customHeight="1">
      <c r="A11" s="2491" t="s">
        <v>2440</v>
      </c>
      <c r="B11" s="751" t="s">
        <v>606</v>
      </c>
      <c r="C11" s="752">
        <f>'数据-取费表'!B29</f>
        <v>0</v>
      </c>
      <c r="D11" s="753"/>
      <c r="E11" s="752"/>
      <c r="F11" s="754"/>
      <c r="G11" s="2500" t="s">
        <v>2451</v>
      </c>
    </row>
    <row r="12" spans="1:25" s="2181" customFormat="1" ht="13.5" customHeight="1">
      <c r="A12" s="2498" t="s">
        <v>2448</v>
      </c>
      <c r="B12" s="755" t="s">
        <v>607</v>
      </c>
      <c r="C12" s="756">
        <f>ROUND(D12*E12/10000,0)</f>
        <v>1432</v>
      </c>
      <c r="D12" s="757">
        <f>'数据-汇总表'!E5</f>
        <v>95475.32</v>
      </c>
      <c r="E12" s="756">
        <f>'数据-取费表'!B27</f>
        <v>150</v>
      </c>
      <c r="F12" s="754"/>
      <c r="G12" s="758"/>
    </row>
    <row r="13" spans="1:25" s="2181" customFormat="1" ht="13.5" customHeight="1">
      <c r="A13" s="2498" t="s">
        <v>2447</v>
      </c>
      <c r="B13" s="755" t="s">
        <v>608</v>
      </c>
      <c r="C13" s="756">
        <f>ROUND(D13*E13/10000,0)</f>
        <v>1643</v>
      </c>
      <c r="D13" s="757">
        <f>'数据-汇总表'!E6</f>
        <v>86476.32</v>
      </c>
      <c r="E13" s="756">
        <f>'数据-取费表'!B28</f>
        <v>190</v>
      </c>
      <c r="F13" s="754"/>
      <c r="G13" s="758"/>
    </row>
    <row r="14" spans="1:25" s="2181" customFormat="1" ht="13.5" customHeight="1">
      <c r="A14" s="2491" t="s">
        <v>2441</v>
      </c>
      <c r="B14" s="2497" t="s">
        <v>2444</v>
      </c>
      <c r="C14" s="2495"/>
      <c r="D14" s="757"/>
      <c r="E14" s="756"/>
      <c r="F14" s="2496"/>
      <c r="G14" s="2499" t="s">
        <v>2449</v>
      </c>
    </row>
    <row r="15" spans="1:25" s="2181" customFormat="1" ht="13.5" customHeight="1">
      <c r="A15" s="2491" t="s">
        <v>2446</v>
      </c>
      <c r="B15" s="2497" t="s">
        <v>2445</v>
      </c>
      <c r="C15" s="2495"/>
      <c r="D15" s="757"/>
      <c r="E15" s="756"/>
      <c r="F15" s="2496"/>
      <c r="G15" s="2499" t="s">
        <v>2450</v>
      </c>
    </row>
    <row r="16" spans="1:25" s="2182" customFormat="1" ht="48">
      <c r="A16" s="2491">
        <v>3</v>
      </c>
      <c r="B16" s="747" t="s">
        <v>611</v>
      </c>
      <c r="C16" s="2495"/>
      <c r="D16" s="759"/>
      <c r="E16" s="748"/>
      <c r="F16" s="760"/>
      <c r="G16" s="758" t="s">
        <v>2452</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92">
        <v>4</v>
      </c>
      <c r="B17" s="747" t="s">
        <v>612</v>
      </c>
      <c r="C17" s="259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3"/>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92">
        <v>5</v>
      </c>
      <c r="B18" s="747" t="s">
        <v>613</v>
      </c>
      <c r="C18" s="748">
        <f>ROUND((C7+C10+C16)*F18,0)</f>
        <v>0</v>
      </c>
      <c r="D18" s="761"/>
      <c r="E18" s="762"/>
      <c r="F18" s="760">
        <f>'数据-取费表'!Q16</f>
        <v>0.08</v>
      </c>
      <c r="G18" s="764" t="s">
        <v>614</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91">
        <v>6</v>
      </c>
      <c r="B19" s="747" t="s">
        <v>615</v>
      </c>
      <c r="C19" s="748">
        <f ca="1">C7+C10+C16+C17+C18</f>
        <v>0</v>
      </c>
      <c r="D19" s="759"/>
      <c r="E19" s="748"/>
      <c r="F19" s="760"/>
      <c r="G19" s="764" t="s">
        <v>616</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91">
        <v>7</v>
      </c>
      <c r="B20" s="747" t="s">
        <v>617</v>
      </c>
      <c r="C20" s="748">
        <f ca="1">ROUND(C19*F20,0)</f>
        <v>0</v>
      </c>
      <c r="D20" s="759"/>
      <c r="E20" s="748"/>
      <c r="F20" s="1348"/>
      <c r="G20" s="764" t="s">
        <v>618</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91">
        <v>8</v>
      </c>
      <c r="B21" s="747" t="s">
        <v>619</v>
      </c>
      <c r="C21" s="748">
        <f ca="1">C19+C20</f>
        <v>0</v>
      </c>
      <c r="D21" s="759"/>
      <c r="E21" s="748"/>
      <c r="F21" s="760"/>
      <c r="G21" s="764" t="s">
        <v>620</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91">
        <v>9</v>
      </c>
      <c r="B22" s="747" t="s">
        <v>621</v>
      </c>
      <c r="C22" s="748">
        <f ca="1">ROUND(C21*F22,0)</f>
        <v>0</v>
      </c>
      <c r="D22" s="759"/>
      <c r="E22" s="748"/>
      <c r="F22" s="765">
        <f>'数据-取费表'!AP16</f>
        <v>0.91600000000000004</v>
      </c>
      <c r="G22" s="764" t="s">
        <v>622</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93">
        <v>10</v>
      </c>
      <c r="B23" s="766" t="s">
        <v>623</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2645" t="s">
        <v>715</v>
      </c>
      <c r="C1" s="2646" t="s">
        <v>716</v>
      </c>
      <c r="D1" s="2647"/>
      <c r="E1" s="2648"/>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61" customFormat="1" ht="28.5" customHeight="1">
      <c r="A2" s="422" t="s">
        <v>463</v>
      </c>
      <c r="B2" s="2644" t="e">
        <f>ROUND(B3*D3/10000,0)</f>
        <v>#DIV/0!</v>
      </c>
      <c r="C2" s="2125"/>
      <c r="D2" s="2125"/>
      <c r="E2" s="2125"/>
      <c r="F2" s="2199"/>
      <c r="G2" s="2125"/>
      <c r="H2" s="2125"/>
      <c r="I2" s="2125"/>
      <c r="J2" s="2125"/>
      <c r="K2" s="2200"/>
      <c r="L2" s="2201"/>
      <c r="M2" s="2202"/>
      <c r="N2" s="2202"/>
      <c r="O2" s="2202"/>
      <c r="P2" s="1599"/>
      <c r="Q2" s="1599"/>
      <c r="R2" s="1599"/>
      <c r="S2" s="1599"/>
      <c r="T2" s="1599"/>
      <c r="U2" s="1599"/>
      <c r="V2" s="1599"/>
      <c r="W2" s="1599"/>
      <c r="X2" s="1599"/>
      <c r="Y2" s="1599"/>
      <c r="Z2" s="1599"/>
      <c r="AA2" s="1599"/>
      <c r="AB2" s="1599"/>
      <c r="AC2" s="1600"/>
    </row>
    <row r="3" spans="1:29" s="1361" customFormat="1" ht="28.5" customHeight="1" thickBot="1">
      <c r="A3" s="508" t="s">
        <v>515</v>
      </c>
      <c r="B3" s="850" t="e">
        <f>C49</f>
        <v>#DIV/0!</v>
      </c>
      <c r="C3" s="851" t="s">
        <v>718</v>
      </c>
      <c r="D3" s="850">
        <f>SUMIF('数据-汇总表'!$C19:$C33,D1,'数据-汇总表'!$E19:$E33)</f>
        <v>0</v>
      </c>
      <c r="E3" s="2125"/>
      <c r="F3" s="2199"/>
      <c r="G3" s="2125"/>
      <c r="H3" s="2125"/>
      <c r="I3" s="2125"/>
      <c r="J3" s="2125"/>
      <c r="K3" s="2200"/>
      <c r="L3" s="2201"/>
      <c r="M3" s="2202"/>
      <c r="N3" s="2202"/>
      <c r="O3" s="2202"/>
      <c r="P3" s="1599"/>
      <c r="Q3" s="1599"/>
      <c r="R3" s="1599"/>
      <c r="S3" s="1599"/>
      <c r="T3" s="1599"/>
      <c r="U3" s="1599"/>
      <c r="V3" s="1599"/>
      <c r="W3" s="1599"/>
      <c r="X3" s="1599"/>
      <c r="Y3" s="1599"/>
      <c r="Z3" s="1599"/>
      <c r="AA3" s="1599"/>
      <c r="AB3" s="1599"/>
      <c r="AC3" s="1601"/>
    </row>
    <row r="4" spans="1:29" ht="15">
      <c r="A4" s="511" t="s">
        <v>517</v>
      </c>
      <c r="B4" s="512"/>
      <c r="C4" s="3432" t="s">
        <v>518</v>
      </c>
      <c r="D4" s="3433"/>
      <c r="E4" s="3466" t="s">
        <v>519</v>
      </c>
      <c r="F4" s="3467"/>
      <c r="G4" s="3432" t="s">
        <v>520</v>
      </c>
      <c r="H4" s="3433"/>
      <c r="I4" s="3432" t="s">
        <v>521</v>
      </c>
      <c r="J4" s="3433"/>
      <c r="K4" s="852" t="s">
        <v>522</v>
      </c>
      <c r="L4" s="2131"/>
      <c r="M4" s="2132"/>
      <c r="N4" s="2132"/>
      <c r="O4" s="2132"/>
      <c r="P4" s="3434" t="s">
        <v>523</v>
      </c>
      <c r="Q4" s="3435"/>
      <c r="R4" s="3440" t="s">
        <v>519</v>
      </c>
      <c r="S4" s="3441"/>
      <c r="T4" s="3440" t="s">
        <v>520</v>
      </c>
      <c r="U4" s="3441"/>
      <c r="V4" s="3427" t="s">
        <v>521</v>
      </c>
      <c r="W4" s="3427"/>
      <c r="X4" s="1564"/>
      <c r="Y4" s="3440" t="s">
        <v>523</v>
      </c>
      <c r="Z4" s="3441"/>
      <c r="AA4" s="3429" t="s">
        <v>519</v>
      </c>
      <c r="AB4" s="3429" t="s">
        <v>520</v>
      </c>
      <c r="AC4" s="3429" t="s">
        <v>521</v>
      </c>
    </row>
    <row r="5" spans="1:29" ht="15">
      <c r="A5" s="514"/>
      <c r="B5" s="515"/>
      <c r="C5" s="3448" t="s">
        <v>2928</v>
      </c>
      <c r="D5" s="3449"/>
      <c r="E5" s="3468" t="s">
        <v>2929</v>
      </c>
      <c r="F5" s="3469"/>
      <c r="G5" s="3448" t="s">
        <v>2930</v>
      </c>
      <c r="H5" s="3449"/>
      <c r="I5" s="3448" t="s">
        <v>2931</v>
      </c>
      <c r="J5" s="3449"/>
      <c r="K5" s="853"/>
      <c r="L5" s="2131"/>
      <c r="M5" s="2132"/>
      <c r="N5" s="2132"/>
      <c r="O5" s="2132"/>
      <c r="P5" s="3436"/>
      <c r="Q5" s="3437"/>
      <c r="R5" s="3442"/>
      <c r="S5" s="3443"/>
      <c r="T5" s="3442"/>
      <c r="U5" s="3443"/>
      <c r="V5" s="3427"/>
      <c r="W5" s="3427"/>
      <c r="X5" s="1564"/>
      <c r="Y5" s="3442"/>
      <c r="Z5" s="3443"/>
      <c r="AA5" s="3430"/>
      <c r="AB5" s="3430"/>
      <c r="AC5" s="3430"/>
    </row>
    <row r="6" spans="1:29" ht="15.75" thickBot="1">
      <c r="A6" s="516"/>
      <c r="B6" s="517"/>
      <c r="C6" s="3446" t="s">
        <v>2932</v>
      </c>
      <c r="D6" s="3447"/>
      <c r="E6" s="3464" t="s">
        <v>2932</v>
      </c>
      <c r="F6" s="3465"/>
      <c r="G6" s="3446" t="s">
        <v>2932</v>
      </c>
      <c r="H6" s="3447"/>
      <c r="I6" s="3446" t="s">
        <v>2932</v>
      </c>
      <c r="J6" s="3447"/>
      <c r="K6" s="853" t="s">
        <v>524</v>
      </c>
      <c r="L6" s="2131"/>
      <c r="M6" s="2132"/>
      <c r="N6" s="2132"/>
      <c r="O6" s="2132"/>
      <c r="P6" s="3438"/>
      <c r="Q6" s="3439"/>
      <c r="R6" s="3442"/>
      <c r="S6" s="3443"/>
      <c r="T6" s="3444"/>
      <c r="U6" s="3445"/>
      <c r="V6" s="3427"/>
      <c r="W6" s="3427"/>
      <c r="X6" s="1564"/>
      <c r="Y6" s="3444"/>
      <c r="Z6" s="3445"/>
      <c r="AA6" s="3431"/>
      <c r="AB6" s="3431"/>
      <c r="AC6" s="3431"/>
    </row>
    <row r="7" spans="1:29" s="1219" customFormat="1" ht="15.75" thickBot="1">
      <c r="A7" s="2934"/>
      <c r="B7" s="2941" t="s">
        <v>525</v>
      </c>
      <c r="C7" s="518">
        <f>'数据-取费表'!B2</f>
        <v>43234</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57" t="s">
        <v>526</v>
      </c>
      <c r="Q7" s="3459"/>
      <c r="R7" s="1565" t="s">
        <v>13</v>
      </c>
      <c r="S7" s="1566">
        <f t="shared" ref="S7:S15" si="0">F7</f>
        <v>0</v>
      </c>
      <c r="T7" s="1565" t="s">
        <v>13</v>
      </c>
      <c r="U7" s="1566">
        <f t="shared" ref="U7:U15" si="1">H7</f>
        <v>0</v>
      </c>
      <c r="V7" s="1565" t="s">
        <v>13</v>
      </c>
      <c r="W7" s="1566">
        <f t="shared" ref="W7:W15" si="2">J7</f>
        <v>0</v>
      </c>
      <c r="X7" s="1567"/>
      <c r="Y7" s="3457" t="s">
        <v>526</v>
      </c>
      <c r="Z7" s="3458"/>
      <c r="AA7" s="1568" t="e">
        <f>D7/F7</f>
        <v>#DIV/0!</v>
      </c>
      <c r="AB7" s="1568" t="e">
        <f>D7/H7</f>
        <v>#DIV/0!</v>
      </c>
      <c r="AC7" s="1568" t="e">
        <f>D7/J7</f>
        <v>#DIV/0!</v>
      </c>
    </row>
    <row r="8" spans="1:29" s="1219" customFormat="1" ht="15.75" thickBot="1">
      <c r="A8" s="2935"/>
      <c r="B8" s="2942" t="s">
        <v>527</v>
      </c>
      <c r="C8" s="524" t="s">
        <v>572</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57" t="s">
        <v>529</v>
      </c>
      <c r="Q8" s="3458"/>
      <c r="R8" s="1565" t="s">
        <v>13</v>
      </c>
      <c r="S8" s="1566">
        <f t="shared" si="0"/>
        <v>0</v>
      </c>
      <c r="T8" s="1565" t="s">
        <v>13</v>
      </c>
      <c r="U8" s="1566">
        <f t="shared" si="1"/>
        <v>0</v>
      </c>
      <c r="V8" s="1565" t="s">
        <v>13</v>
      </c>
      <c r="W8" s="1566">
        <f t="shared" si="2"/>
        <v>0</v>
      </c>
      <c r="X8" s="1567"/>
      <c r="Y8" s="3457" t="s">
        <v>529</v>
      </c>
      <c r="Z8" s="3458"/>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426" t="s">
        <v>531</v>
      </c>
      <c r="Q9" s="1150" t="str">
        <f t="shared" ref="Q9:Q15" si="6">B9</f>
        <v>用途</v>
      </c>
      <c r="R9" s="1565" t="s">
        <v>8</v>
      </c>
      <c r="S9" s="1566">
        <f t="shared" si="0"/>
        <v>100</v>
      </c>
      <c r="T9" s="1565" t="s">
        <v>8</v>
      </c>
      <c r="U9" s="1566">
        <f t="shared" si="1"/>
        <v>100</v>
      </c>
      <c r="V9" s="1565" t="s">
        <v>8</v>
      </c>
      <c r="W9" s="1566">
        <f t="shared" si="2"/>
        <v>100</v>
      </c>
      <c r="X9" s="1567"/>
      <c r="Y9" s="3372"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426"/>
      <c r="Q10" s="1150" t="str">
        <f t="shared" si="6"/>
        <v>土地使用年限（年）</v>
      </c>
      <c r="R10" s="1565" t="s">
        <v>8</v>
      </c>
      <c r="S10" s="1566">
        <f t="shared" si="0"/>
        <v>100</v>
      </c>
      <c r="T10" s="1565" t="s">
        <v>8</v>
      </c>
      <c r="U10" s="1566">
        <f t="shared" si="1"/>
        <v>100</v>
      </c>
      <c r="V10" s="1565" t="s">
        <v>8</v>
      </c>
      <c r="W10" s="1566">
        <f t="shared" si="2"/>
        <v>100</v>
      </c>
      <c r="X10" s="1567"/>
      <c r="Y10" s="3372"/>
      <c r="Z10" s="1149" t="str">
        <f t="shared" si="7"/>
        <v>土地使用年限（年）</v>
      </c>
      <c r="AA10" s="1568">
        <f t="shared" si="3"/>
        <v>1</v>
      </c>
      <c r="AB10" s="1568">
        <f t="shared" si="4"/>
        <v>1</v>
      </c>
      <c r="AC10" s="1568">
        <f t="shared" si="5"/>
        <v>1</v>
      </c>
    </row>
    <row r="11" spans="1:29" ht="15">
      <c r="A11" s="2938"/>
      <c r="B11" s="2942" t="s">
        <v>2758</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426"/>
      <c r="Q11" s="1150" t="str">
        <f t="shared" si="6"/>
        <v>容积率</v>
      </c>
      <c r="R11" s="1565" t="s">
        <v>11</v>
      </c>
      <c r="S11" s="1566" t="e">
        <f t="shared" si="0"/>
        <v>#N/A</v>
      </c>
      <c r="T11" s="1565" t="s">
        <v>11</v>
      </c>
      <c r="U11" s="1566" t="e">
        <f t="shared" si="1"/>
        <v>#N/A</v>
      </c>
      <c r="V11" s="1565" t="s">
        <v>11</v>
      </c>
      <c r="W11" s="1566" t="e">
        <f t="shared" si="2"/>
        <v>#N/A</v>
      </c>
      <c r="X11" s="1567"/>
      <c r="Y11" s="3372"/>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426"/>
      <c r="Q12" s="1150">
        <f t="shared" si="6"/>
        <v>111</v>
      </c>
      <c r="R12" s="1565" t="s">
        <v>11</v>
      </c>
      <c r="S12" s="1566">
        <f t="shared" si="0"/>
        <v>100</v>
      </c>
      <c r="T12" s="1565" t="s">
        <v>11</v>
      </c>
      <c r="U12" s="1566">
        <f t="shared" si="1"/>
        <v>100</v>
      </c>
      <c r="V12" s="1565" t="s">
        <v>11</v>
      </c>
      <c r="W12" s="1566">
        <f t="shared" si="2"/>
        <v>100</v>
      </c>
      <c r="X12" s="1567"/>
      <c r="Y12" s="3372"/>
      <c r="Z12" s="1149">
        <f t="shared" si="7"/>
        <v>111</v>
      </c>
      <c r="AA12" s="1568">
        <f>D12/F12</f>
        <v>1</v>
      </c>
      <c r="AB12" s="1568">
        <f>D12/H12</f>
        <v>1</v>
      </c>
      <c r="AC12" s="1568">
        <f>D12/J12</f>
        <v>1</v>
      </c>
    </row>
    <row r="13" spans="1:29" ht="15">
      <c r="A13" s="2939"/>
      <c r="B13" s="2945">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426"/>
      <c r="Q13" s="1150">
        <f t="shared" si="6"/>
        <v>111</v>
      </c>
      <c r="R13" s="1565" t="s">
        <v>11</v>
      </c>
      <c r="S13" s="1566">
        <f t="shared" si="0"/>
        <v>100</v>
      </c>
      <c r="T13" s="1565" t="s">
        <v>11</v>
      </c>
      <c r="U13" s="1566">
        <f t="shared" si="1"/>
        <v>100</v>
      </c>
      <c r="V13" s="1565" t="s">
        <v>11</v>
      </c>
      <c r="W13" s="1566">
        <f t="shared" si="2"/>
        <v>100</v>
      </c>
      <c r="X13" s="1567"/>
      <c r="Y13" s="3372"/>
      <c r="Z13" s="1149">
        <f t="shared" si="7"/>
        <v>111</v>
      </c>
      <c r="AA13" s="1568">
        <f t="shared" si="3"/>
        <v>1</v>
      </c>
      <c r="AB13" s="1568">
        <f t="shared" si="4"/>
        <v>1</v>
      </c>
      <c r="AC13" s="1568">
        <f t="shared" si="5"/>
        <v>1</v>
      </c>
    </row>
    <row r="14" spans="1:29" ht="15.75" thickBot="1">
      <c r="A14" s="2940"/>
      <c r="B14" s="2946">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426"/>
      <c r="Q14" s="1150">
        <f t="shared" si="6"/>
        <v>111</v>
      </c>
      <c r="R14" s="1565" t="s">
        <v>11</v>
      </c>
      <c r="S14" s="1566">
        <f t="shared" si="0"/>
        <v>100</v>
      </c>
      <c r="T14" s="1565" t="s">
        <v>11</v>
      </c>
      <c r="U14" s="1566">
        <f t="shared" si="1"/>
        <v>100</v>
      </c>
      <c r="V14" s="1565" t="s">
        <v>11</v>
      </c>
      <c r="W14" s="1566">
        <f t="shared" si="2"/>
        <v>100</v>
      </c>
      <c r="X14" s="1567"/>
      <c r="Y14" s="3372"/>
      <c r="Z14" s="1149">
        <f t="shared" si="7"/>
        <v>111</v>
      </c>
      <c r="AA14" s="1568">
        <f t="shared" si="3"/>
        <v>1</v>
      </c>
      <c r="AB14" s="1568">
        <f t="shared" si="4"/>
        <v>1</v>
      </c>
      <c r="AC14" s="1568">
        <f t="shared" si="5"/>
        <v>1</v>
      </c>
    </row>
    <row r="15" spans="1:29" ht="128.25">
      <c r="A15" s="2932" t="s">
        <v>2754</v>
      </c>
      <c r="B15" s="166" t="s">
        <v>291</v>
      </c>
      <c r="C15" s="866" t="str">
        <f>估价对象房地状况!C3</f>
        <v>估价对象周边居住用地比例、居住小区规模和社区发展完善程度，周边有天恒摩墅等住宅项目，综合评价居住社区成熟度一般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60" t="s">
        <v>536</v>
      </c>
      <c r="Q15" s="1569" t="str">
        <f t="shared" si="6"/>
        <v>居住社区成熟度</v>
      </c>
      <c r="R15" s="1570" t="s">
        <v>11</v>
      </c>
      <c r="S15" s="1571">
        <f t="shared" si="0"/>
        <v>100</v>
      </c>
      <c r="T15" s="1570" t="s">
        <v>11</v>
      </c>
      <c r="U15" s="1571">
        <f t="shared" si="1"/>
        <v>100</v>
      </c>
      <c r="V15" s="1570" t="s">
        <v>11</v>
      </c>
      <c r="W15" s="1571">
        <f t="shared" si="2"/>
        <v>100</v>
      </c>
      <c r="X15" s="1564"/>
      <c r="Y15" s="3460" t="s">
        <v>536</v>
      </c>
      <c r="Z15" s="1572" t="str">
        <f t="shared" si="7"/>
        <v>居住社区成熟度</v>
      </c>
      <c r="AA15" s="1573">
        <f t="shared" si="3"/>
        <v>1</v>
      </c>
      <c r="AB15" s="1573">
        <f t="shared" si="4"/>
        <v>1</v>
      </c>
      <c r="AC15" s="1573">
        <f t="shared" si="5"/>
        <v>1</v>
      </c>
    </row>
    <row r="16" spans="1:29" ht="15">
      <c r="A16" s="531"/>
      <c r="B16" s="868"/>
      <c r="C16" s="575"/>
      <c r="D16" s="554"/>
      <c r="E16" s="555"/>
      <c r="F16" s="556"/>
      <c r="G16" s="557"/>
      <c r="H16" s="558"/>
      <c r="I16" s="555"/>
      <c r="J16" s="554"/>
      <c r="K16" s="869"/>
      <c r="L16" s="2140"/>
      <c r="M16" s="2132"/>
      <c r="N16" s="2132"/>
      <c r="O16" s="2139"/>
      <c r="P16" s="3461"/>
      <c r="Q16" s="1569"/>
      <c r="R16" s="1570"/>
      <c r="S16" s="1571"/>
      <c r="T16" s="1570"/>
      <c r="U16" s="1571"/>
      <c r="V16" s="1570"/>
      <c r="W16" s="1571"/>
      <c r="X16" s="1564"/>
      <c r="Y16" s="3461"/>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61"/>
      <c r="Q17" s="1569" t="str">
        <f>B17</f>
        <v>交通便捷度</v>
      </c>
      <c r="R17" s="1570" t="s">
        <v>11</v>
      </c>
      <c r="S17" s="1571">
        <f>F17</f>
        <v>100</v>
      </c>
      <c r="T17" s="1570" t="s">
        <v>11</v>
      </c>
      <c r="U17" s="1571">
        <f>H17</f>
        <v>100</v>
      </c>
      <c r="V17" s="1570" t="s">
        <v>11</v>
      </c>
      <c r="W17" s="1571">
        <f>J17</f>
        <v>100</v>
      </c>
      <c r="X17" s="1564"/>
      <c r="Y17" s="3461"/>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69"/>
      <c r="L18" s="2140"/>
      <c r="M18" s="2132"/>
      <c r="N18" s="2132"/>
      <c r="O18" s="2139"/>
      <c r="P18" s="3461"/>
      <c r="Q18" s="1569"/>
      <c r="R18" s="1570"/>
      <c r="S18" s="1571"/>
      <c r="T18" s="1570"/>
      <c r="U18" s="1571"/>
      <c r="V18" s="1570"/>
      <c r="W18" s="1571"/>
      <c r="X18" s="1564"/>
      <c r="Y18" s="3461"/>
      <c r="Z18" s="1572"/>
      <c r="AA18" s="1573">
        <v>1</v>
      </c>
      <c r="AB18" s="1573">
        <v>1</v>
      </c>
      <c r="AC18" s="1573">
        <v>1</v>
      </c>
    </row>
    <row r="19" spans="1:29" ht="42.75">
      <c r="A19" s="531"/>
      <c r="B19" s="2622"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61"/>
      <c r="Q19" s="1569" t="str">
        <f>B19</f>
        <v>公共配套设施</v>
      </c>
      <c r="R19" s="1570" t="s">
        <v>11</v>
      </c>
      <c r="S19" s="1571">
        <f>F19</f>
        <v>100</v>
      </c>
      <c r="T19" s="1570" t="s">
        <v>11</v>
      </c>
      <c r="U19" s="1571">
        <f>H19</f>
        <v>100</v>
      </c>
      <c r="V19" s="1570" t="s">
        <v>11</v>
      </c>
      <c r="W19" s="1571">
        <f>J19</f>
        <v>100</v>
      </c>
      <c r="X19" s="1564"/>
      <c r="Y19" s="3461"/>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69"/>
      <c r="L20" s="2140"/>
      <c r="M20" s="2132"/>
      <c r="N20" s="2132"/>
      <c r="O20" s="2139"/>
      <c r="P20" s="3461"/>
      <c r="Q20" s="1569"/>
      <c r="R20" s="1570"/>
      <c r="S20" s="1571"/>
      <c r="T20" s="1570"/>
      <c r="U20" s="1571"/>
      <c r="V20" s="1570"/>
      <c r="W20" s="1571"/>
      <c r="X20" s="1564"/>
      <c r="Y20" s="3461"/>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61"/>
      <c r="Q21" s="2601" t="str">
        <f>B21</f>
        <v>基础设施水平</v>
      </c>
      <c r="R21" s="1570" t="s">
        <v>11</v>
      </c>
      <c r="S21" s="1571">
        <f>F21</f>
        <v>100</v>
      </c>
      <c r="T21" s="1570" t="s">
        <v>11</v>
      </c>
      <c r="U21" s="1571">
        <f>H21</f>
        <v>100</v>
      </c>
      <c r="V21" s="1570" t="s">
        <v>11</v>
      </c>
      <c r="W21" s="1571">
        <f>J21</f>
        <v>100</v>
      </c>
      <c r="X21" s="2603"/>
      <c r="Y21" s="3461"/>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1"/>
      <c r="L22" s="2140"/>
      <c r="M22" s="2132"/>
      <c r="N22" s="2132"/>
      <c r="O22" s="2139"/>
      <c r="P22" s="3461"/>
      <c r="Q22" s="2601"/>
      <c r="R22" s="1570"/>
      <c r="S22" s="1571"/>
      <c r="T22" s="1570"/>
      <c r="U22" s="1571"/>
      <c r="V22" s="1570"/>
      <c r="W22" s="1571"/>
      <c r="X22" s="2603"/>
      <c r="Y22" s="3461"/>
      <c r="Z22" s="2602"/>
      <c r="AA22" s="1573">
        <v>1</v>
      </c>
      <c r="AB22" s="1573">
        <v>1</v>
      </c>
      <c r="AC22" s="1573">
        <v>1</v>
      </c>
    </row>
    <row r="23" spans="1:29" ht="99.75">
      <c r="A23" s="531"/>
      <c r="B23" s="870" t="s">
        <v>293</v>
      </c>
      <c r="C23" s="871"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61"/>
      <c r="Q23" s="1569" t="str">
        <f>B23</f>
        <v>自然及人文环境</v>
      </c>
      <c r="R23" s="1570" t="s">
        <v>11</v>
      </c>
      <c r="S23" s="1571">
        <f>F23</f>
        <v>100</v>
      </c>
      <c r="T23" s="1570" t="s">
        <v>11</v>
      </c>
      <c r="U23" s="1571">
        <f>H23</f>
        <v>100</v>
      </c>
      <c r="V23" s="1570" t="s">
        <v>11</v>
      </c>
      <c r="W23" s="1571">
        <f>J23</f>
        <v>100</v>
      </c>
      <c r="X23" s="1564"/>
      <c r="Y23" s="3461"/>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69"/>
      <c r="L24" s="2140"/>
      <c r="M24" s="2132"/>
      <c r="N24" s="2132"/>
      <c r="O24" s="2139"/>
      <c r="P24" s="3461"/>
      <c r="Q24" s="1569"/>
      <c r="R24" s="1570"/>
      <c r="S24" s="1571"/>
      <c r="T24" s="1570"/>
      <c r="U24" s="1571"/>
      <c r="V24" s="1570"/>
      <c r="W24" s="1571"/>
      <c r="X24" s="1564"/>
      <c r="Y24" s="3461"/>
      <c r="Z24" s="1572"/>
      <c r="AA24" s="1573">
        <v>1</v>
      </c>
      <c r="AB24" s="1573">
        <v>1</v>
      </c>
      <c r="AC24" s="1573">
        <v>1</v>
      </c>
    </row>
    <row r="25" spans="1:29" ht="15">
      <c r="A25" s="531"/>
      <c r="B25" s="1893" t="s">
        <v>2255</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61"/>
      <c r="Q25" s="1569" t="str">
        <f t="shared" ref="Q25:Q46" si="11">B25</f>
        <v>楼层-1</v>
      </c>
      <c r="R25" s="1570" t="s">
        <v>11</v>
      </c>
      <c r="S25" s="1571">
        <f>F25</f>
        <v>100</v>
      </c>
      <c r="T25" s="1570" t="s">
        <v>11</v>
      </c>
      <c r="U25" s="1571">
        <f>H25</f>
        <v>100</v>
      </c>
      <c r="V25" s="1570" t="s">
        <v>11</v>
      </c>
      <c r="W25" s="1571">
        <f>J25</f>
        <v>100</v>
      </c>
      <c r="X25" s="1564"/>
      <c r="Y25" s="3461"/>
      <c r="Z25" s="1572" t="str">
        <f>Q25</f>
        <v>楼层-1</v>
      </c>
      <c r="AA25" s="1573">
        <f t="shared" si="3"/>
        <v>1</v>
      </c>
      <c r="AB25" s="1573">
        <f t="shared" si="4"/>
        <v>1</v>
      </c>
      <c r="AC25" s="1573">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61"/>
      <c r="Q26" s="1569" t="str">
        <f t="shared" si="11"/>
        <v>朝向</v>
      </c>
      <c r="R26" s="1570" t="s">
        <v>11</v>
      </c>
      <c r="S26" s="1571">
        <f>F26</f>
        <v>100</v>
      </c>
      <c r="T26" s="1570" t="s">
        <v>11</v>
      </c>
      <c r="U26" s="1571">
        <f>H26</f>
        <v>100</v>
      </c>
      <c r="V26" s="1570" t="s">
        <v>11</v>
      </c>
      <c r="W26" s="1571">
        <f>J26</f>
        <v>100</v>
      </c>
      <c r="X26" s="1564"/>
      <c r="Y26" s="3461"/>
      <c r="Z26" s="1572" t="str">
        <f>Q26</f>
        <v>朝向</v>
      </c>
      <c r="AA26" s="1573">
        <f t="shared" si="3"/>
        <v>1</v>
      </c>
      <c r="AB26" s="1573">
        <f t="shared" si="4"/>
        <v>1</v>
      </c>
      <c r="AC26" s="1573">
        <f t="shared" si="5"/>
        <v>1</v>
      </c>
    </row>
    <row r="27" spans="1:29" s="1219" customFormat="1" ht="15">
      <c r="A27" s="535"/>
      <c r="B27" s="536" t="s">
        <v>720</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61"/>
      <c r="Q27" s="1150" t="str">
        <f t="shared" si="11"/>
        <v>道路级别</v>
      </c>
      <c r="R27" s="1565" t="s">
        <v>11</v>
      </c>
      <c r="S27" s="1566">
        <f>F27</f>
        <v>100</v>
      </c>
      <c r="T27" s="1565" t="s">
        <v>11</v>
      </c>
      <c r="U27" s="1566">
        <f>H27</f>
        <v>100</v>
      </c>
      <c r="V27" s="1565" t="s">
        <v>11</v>
      </c>
      <c r="W27" s="1566">
        <f>J27</f>
        <v>100</v>
      </c>
      <c r="X27" s="1567"/>
      <c r="Y27" s="3461"/>
      <c r="Z27" s="1149" t="str">
        <f>Q27</f>
        <v>道路级别</v>
      </c>
      <c r="AA27" s="1573">
        <f>D27/F27</f>
        <v>1</v>
      </c>
      <c r="AB27" s="1573">
        <f>D27/H27</f>
        <v>1</v>
      </c>
      <c r="AC27" s="1573">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61"/>
      <c r="Q28" s="1569">
        <f t="shared" si="11"/>
        <v>111</v>
      </c>
      <c r="R28" s="1570" t="s">
        <v>11</v>
      </c>
      <c r="S28" s="1571">
        <f t="shared" ref="S28:S46" si="12">F28</f>
        <v>100</v>
      </c>
      <c r="T28" s="1570" t="s">
        <v>11</v>
      </c>
      <c r="U28" s="1571">
        <f t="shared" ref="U28:U46" si="13">H28</f>
        <v>100</v>
      </c>
      <c r="V28" s="1570" t="s">
        <v>11</v>
      </c>
      <c r="W28" s="1571">
        <f t="shared" ref="W28:W46" si="14">J28</f>
        <v>100</v>
      </c>
      <c r="X28" s="1564"/>
      <c r="Y28" s="3461"/>
      <c r="Z28" s="1572">
        <f t="shared" ref="Z28:Z46" si="15">Q28</f>
        <v>111</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61"/>
      <c r="Q29" s="1569">
        <f t="shared" si="11"/>
        <v>111</v>
      </c>
      <c r="R29" s="1570" t="s">
        <v>11</v>
      </c>
      <c r="S29" s="1571">
        <f t="shared" si="12"/>
        <v>100</v>
      </c>
      <c r="T29" s="1570" t="s">
        <v>11</v>
      </c>
      <c r="U29" s="1571">
        <f t="shared" si="13"/>
        <v>100</v>
      </c>
      <c r="V29" s="1570" t="s">
        <v>11</v>
      </c>
      <c r="W29" s="1571">
        <f t="shared" si="14"/>
        <v>100</v>
      </c>
      <c r="X29" s="1564"/>
      <c r="Y29" s="3461"/>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61"/>
      <c r="Q30" s="1569">
        <f t="shared" si="11"/>
        <v>111</v>
      </c>
      <c r="R30" s="1570" t="s">
        <v>11</v>
      </c>
      <c r="S30" s="1571">
        <f t="shared" si="12"/>
        <v>100</v>
      </c>
      <c r="T30" s="1570" t="s">
        <v>11</v>
      </c>
      <c r="U30" s="1571">
        <f t="shared" si="13"/>
        <v>100</v>
      </c>
      <c r="V30" s="1570" t="s">
        <v>11</v>
      </c>
      <c r="W30" s="1571">
        <f t="shared" si="14"/>
        <v>100</v>
      </c>
      <c r="X30" s="1564"/>
      <c r="Y30" s="3461"/>
      <c r="Z30" s="1572">
        <f t="shared" si="15"/>
        <v>111</v>
      </c>
      <c r="AA30" s="1573">
        <f t="shared" si="3"/>
        <v>1</v>
      </c>
      <c r="AB30" s="1573">
        <f t="shared" si="4"/>
        <v>1</v>
      </c>
      <c r="AC30" s="1573">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61"/>
      <c r="Q31" s="1569">
        <f t="shared" si="11"/>
        <v>111</v>
      </c>
      <c r="R31" s="1570" t="s">
        <v>11</v>
      </c>
      <c r="S31" s="1571">
        <f t="shared" si="12"/>
        <v>100</v>
      </c>
      <c r="T31" s="1570" t="s">
        <v>11</v>
      </c>
      <c r="U31" s="1571">
        <f t="shared" si="13"/>
        <v>100</v>
      </c>
      <c r="V31" s="1570" t="s">
        <v>11</v>
      </c>
      <c r="W31" s="1571">
        <f t="shared" si="14"/>
        <v>100</v>
      </c>
      <c r="X31" s="1564"/>
      <c r="Y31" s="3461"/>
      <c r="Z31" s="1572">
        <f t="shared" si="15"/>
        <v>111</v>
      </c>
      <c r="AA31" s="1573">
        <f t="shared" si="3"/>
        <v>1</v>
      </c>
      <c r="AB31" s="1573">
        <f t="shared" si="4"/>
        <v>1</v>
      </c>
      <c r="AC31" s="1573">
        <f t="shared" si="5"/>
        <v>1</v>
      </c>
    </row>
    <row r="32" spans="1:29" ht="15">
      <c r="A32" s="2929" t="s">
        <v>2755</v>
      </c>
      <c r="B32" s="172" t="s">
        <v>721</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62" t="s">
        <v>546</v>
      </c>
      <c r="Q32" s="1569" t="str">
        <f t="shared" si="11"/>
        <v>建筑类型</v>
      </c>
      <c r="R32" s="1570" t="s">
        <v>11</v>
      </c>
      <c r="S32" s="1571">
        <f t="shared" si="12"/>
        <v>100</v>
      </c>
      <c r="T32" s="1570" t="s">
        <v>11</v>
      </c>
      <c r="U32" s="1571">
        <f t="shared" si="13"/>
        <v>100</v>
      </c>
      <c r="V32" s="1570" t="s">
        <v>11</v>
      </c>
      <c r="W32" s="1571">
        <f t="shared" si="14"/>
        <v>100</v>
      </c>
      <c r="X32" s="1564"/>
      <c r="Y32" s="3463" t="s">
        <v>546</v>
      </c>
      <c r="Z32" s="1572" t="str">
        <f t="shared" si="15"/>
        <v>建筑类型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63"/>
      <c r="Q33" s="1602" t="str">
        <f t="shared" si="11"/>
        <v>项目建筑规模</v>
      </c>
      <c r="R33" s="1574" t="s">
        <v>11</v>
      </c>
      <c r="S33" s="1575" t="e">
        <f t="shared" si="12"/>
        <v>#N/A</v>
      </c>
      <c r="T33" s="1574" t="s">
        <v>11</v>
      </c>
      <c r="U33" s="1575" t="e">
        <f t="shared" si="13"/>
        <v>#N/A</v>
      </c>
      <c r="V33" s="1574" t="s">
        <v>11</v>
      </c>
      <c r="W33" s="1575" t="e">
        <f t="shared" si="14"/>
        <v>#N/A</v>
      </c>
      <c r="X33" s="1576"/>
      <c r="Y33" s="3463"/>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63"/>
      <c r="Q34" s="1569" t="str">
        <f t="shared" si="11"/>
        <v>建筑结构</v>
      </c>
      <c r="R34" s="1570" t="s">
        <v>11</v>
      </c>
      <c r="S34" s="1571">
        <f t="shared" si="12"/>
        <v>100</v>
      </c>
      <c r="T34" s="1570" t="s">
        <v>11</v>
      </c>
      <c r="U34" s="1571">
        <f t="shared" si="13"/>
        <v>100</v>
      </c>
      <c r="V34" s="1570" t="s">
        <v>11</v>
      </c>
      <c r="W34" s="1571">
        <f t="shared" si="14"/>
        <v>100</v>
      </c>
      <c r="X34" s="1564"/>
      <c r="Y34" s="3463"/>
      <c r="Z34" s="1572" t="str">
        <f t="shared" si="15"/>
        <v>建筑结构</v>
      </c>
      <c r="AA34" s="1573">
        <f t="shared" si="3"/>
        <v>1</v>
      </c>
      <c r="AB34" s="1573">
        <f t="shared" si="4"/>
        <v>1</v>
      </c>
      <c r="AC34" s="1573">
        <f t="shared" si="5"/>
        <v>1</v>
      </c>
    </row>
    <row r="35" spans="1:29" ht="15">
      <c r="A35" s="593"/>
      <c r="B35" s="526" t="s">
        <v>724</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63"/>
      <c r="Q35" s="1569" t="str">
        <f t="shared" si="11"/>
        <v>建筑品质</v>
      </c>
      <c r="R35" s="1570" t="s">
        <v>11</v>
      </c>
      <c r="S35" s="1571">
        <f t="shared" si="12"/>
        <v>100</v>
      </c>
      <c r="T35" s="1570" t="s">
        <v>11</v>
      </c>
      <c r="U35" s="1571">
        <f t="shared" si="13"/>
        <v>100</v>
      </c>
      <c r="V35" s="1570" t="s">
        <v>11</v>
      </c>
      <c r="W35" s="1571">
        <f t="shared" si="14"/>
        <v>100</v>
      </c>
      <c r="X35" s="1564"/>
      <c r="Y35" s="3463"/>
      <c r="Z35" s="1572" t="str">
        <f t="shared" si="15"/>
        <v>建筑品质</v>
      </c>
      <c r="AA35" s="1573">
        <f t="shared" si="3"/>
        <v>1</v>
      </c>
      <c r="AB35" s="1573">
        <f t="shared" si="4"/>
        <v>1</v>
      </c>
      <c r="AC35" s="1573">
        <f t="shared" si="5"/>
        <v>1</v>
      </c>
    </row>
    <row r="36" spans="1:29" ht="15">
      <c r="A36" s="593"/>
      <c r="B36" s="526" t="s">
        <v>725</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63"/>
      <c r="Q36" s="1569" t="str">
        <f t="shared" si="11"/>
        <v>公共部分装修</v>
      </c>
      <c r="R36" s="1570" t="s">
        <v>11</v>
      </c>
      <c r="S36" s="1571">
        <f t="shared" si="12"/>
        <v>100</v>
      </c>
      <c r="T36" s="1570" t="s">
        <v>11</v>
      </c>
      <c r="U36" s="1571">
        <f t="shared" si="13"/>
        <v>100</v>
      </c>
      <c r="V36" s="1570" t="s">
        <v>11</v>
      </c>
      <c r="W36" s="1571">
        <f t="shared" si="14"/>
        <v>100</v>
      </c>
      <c r="X36" s="1564"/>
      <c r="Y36" s="3463"/>
      <c r="Z36" s="1572" t="str">
        <f t="shared" si="15"/>
        <v>公共部分装修</v>
      </c>
      <c r="AA36" s="1573">
        <f t="shared" si="3"/>
        <v>1</v>
      </c>
      <c r="AB36" s="1573">
        <f t="shared" si="4"/>
        <v>1</v>
      </c>
      <c r="AC36" s="1573">
        <f t="shared" si="5"/>
        <v>1</v>
      </c>
    </row>
    <row r="37" spans="1:29" s="1219" customFormat="1" ht="15">
      <c r="A37" s="599"/>
      <c r="B37" s="526" t="s">
        <v>726</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63"/>
      <c r="Q37" s="1150" t="str">
        <f t="shared" si="11"/>
        <v>成新度</v>
      </c>
      <c r="R37" s="1565" t="s">
        <v>11</v>
      </c>
      <c r="S37" s="1566" t="e">
        <f t="shared" si="12"/>
        <v>#N/A</v>
      </c>
      <c r="T37" s="1565" t="s">
        <v>11</v>
      </c>
      <c r="U37" s="1566" t="e">
        <f t="shared" si="13"/>
        <v>#N/A</v>
      </c>
      <c r="V37" s="1565" t="s">
        <v>11</v>
      </c>
      <c r="W37" s="1566" t="e">
        <f t="shared" si="14"/>
        <v>#N/A</v>
      </c>
      <c r="X37" s="1567"/>
      <c r="Y37" s="3463"/>
      <c r="Z37" s="1149" t="str">
        <f t="shared" si="15"/>
        <v>成新度</v>
      </c>
      <c r="AA37" s="1568" t="e">
        <f t="shared" si="3"/>
        <v>#N/A</v>
      </c>
      <c r="AB37" s="1568" t="e">
        <f t="shared" si="4"/>
        <v>#N/A</v>
      </c>
      <c r="AC37" s="1568" t="e">
        <f t="shared" si="5"/>
        <v>#N/A</v>
      </c>
    </row>
    <row r="38" spans="1:29" ht="15">
      <c r="A38" s="593"/>
      <c r="B38" s="526" t="s">
        <v>727</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63" t="s">
        <v>546</v>
      </c>
      <c r="Q38" s="1569" t="str">
        <f t="shared" si="11"/>
        <v>物业管理</v>
      </c>
      <c r="R38" s="1570" t="s">
        <v>11</v>
      </c>
      <c r="S38" s="1571">
        <f t="shared" si="12"/>
        <v>100</v>
      </c>
      <c r="T38" s="1570" t="s">
        <v>11</v>
      </c>
      <c r="U38" s="1571">
        <f t="shared" si="13"/>
        <v>100</v>
      </c>
      <c r="V38" s="1570" t="s">
        <v>11</v>
      </c>
      <c r="W38" s="1571">
        <f t="shared" si="14"/>
        <v>100</v>
      </c>
      <c r="X38" s="1564"/>
      <c r="Y38" s="3463" t="s">
        <v>546</v>
      </c>
      <c r="Z38" s="1572" t="str">
        <f t="shared" si="15"/>
        <v>物业管理</v>
      </c>
      <c r="AA38" s="1573">
        <f t="shared" si="3"/>
        <v>1</v>
      </c>
      <c r="AB38" s="1573">
        <f t="shared" si="4"/>
        <v>1</v>
      </c>
      <c r="AC38" s="1573">
        <f t="shared" si="5"/>
        <v>1</v>
      </c>
    </row>
    <row r="39" spans="1:29" ht="15">
      <c r="A39" s="593"/>
      <c r="B39" s="1893" t="s">
        <v>2564</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63"/>
      <c r="Q39" s="1569" t="str">
        <f t="shared" si="11"/>
        <v>市政基础设施</v>
      </c>
      <c r="R39" s="1570" t="s">
        <v>11</v>
      </c>
      <c r="S39" s="1571">
        <f t="shared" si="12"/>
        <v>100</v>
      </c>
      <c r="T39" s="1570" t="s">
        <v>11</v>
      </c>
      <c r="U39" s="1571">
        <f t="shared" si="13"/>
        <v>100</v>
      </c>
      <c r="V39" s="1570" t="s">
        <v>11</v>
      </c>
      <c r="W39" s="1571">
        <f t="shared" si="14"/>
        <v>100</v>
      </c>
      <c r="X39" s="1564"/>
      <c r="Y39" s="3463"/>
      <c r="Z39" s="1572" t="str">
        <f t="shared" si="15"/>
        <v>市政基础设施</v>
      </c>
      <c r="AA39" s="1573">
        <f t="shared" si="3"/>
        <v>1</v>
      </c>
      <c r="AB39" s="1573">
        <f t="shared" si="4"/>
        <v>1</v>
      </c>
      <c r="AC39" s="1573">
        <f t="shared" si="5"/>
        <v>1</v>
      </c>
    </row>
    <row r="40" spans="1:29" ht="15">
      <c r="A40" s="593"/>
      <c r="B40" s="526" t="s">
        <v>728</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63"/>
      <c r="Q40" s="1569" t="str">
        <f t="shared" si="11"/>
        <v>房型</v>
      </c>
      <c r="R40" s="1570" t="s">
        <v>11</v>
      </c>
      <c r="S40" s="1571">
        <f t="shared" si="12"/>
        <v>100</v>
      </c>
      <c r="T40" s="1570" t="s">
        <v>11</v>
      </c>
      <c r="U40" s="1571">
        <f t="shared" si="13"/>
        <v>100</v>
      </c>
      <c r="V40" s="1570" t="s">
        <v>11</v>
      </c>
      <c r="W40" s="1571">
        <f t="shared" si="14"/>
        <v>100</v>
      </c>
      <c r="X40" s="1564"/>
      <c r="Y40" s="3463"/>
      <c r="Z40" s="1572" t="str">
        <f t="shared" si="15"/>
        <v>房型</v>
      </c>
      <c r="AA40" s="1573">
        <f t="shared" si="3"/>
        <v>1</v>
      </c>
      <c r="AB40" s="1573">
        <f t="shared" si="4"/>
        <v>1</v>
      </c>
      <c r="AC40" s="1573">
        <f t="shared" si="5"/>
        <v>1</v>
      </c>
    </row>
    <row r="41" spans="1:29" s="1338" customFormat="1" ht="28.5">
      <c r="A41" s="602"/>
      <c r="B41" s="526" t="s">
        <v>729</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63"/>
      <c r="Q41" s="1602" t="str">
        <f t="shared" si="11"/>
        <v>单套/主力户型建筑面积</v>
      </c>
      <c r="R41" s="1574" t="s">
        <v>11</v>
      </c>
      <c r="S41" s="1575">
        <f t="shared" si="12"/>
        <v>100</v>
      </c>
      <c r="T41" s="1574" t="s">
        <v>11</v>
      </c>
      <c r="U41" s="1575">
        <f t="shared" si="13"/>
        <v>100</v>
      </c>
      <c r="V41" s="1574" t="s">
        <v>11</v>
      </c>
      <c r="W41" s="1575">
        <f t="shared" si="14"/>
        <v>100</v>
      </c>
      <c r="X41" s="1576"/>
      <c r="Y41" s="3463"/>
      <c r="Z41" s="1577" t="str">
        <f t="shared" si="15"/>
        <v>单套/主力户型建筑面积</v>
      </c>
      <c r="AA41" s="1573">
        <f t="shared" si="3"/>
        <v>1</v>
      </c>
      <c r="AB41" s="1573">
        <f t="shared" si="4"/>
        <v>1</v>
      </c>
      <c r="AC41" s="1573">
        <f t="shared" si="5"/>
        <v>1</v>
      </c>
    </row>
    <row r="42" spans="1:29" ht="15">
      <c r="A42" s="593"/>
      <c r="B42" s="526" t="s">
        <v>730</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63"/>
      <c r="Q42" s="1569" t="str">
        <f t="shared" si="11"/>
        <v>内部装修</v>
      </c>
      <c r="R42" s="1570" t="s">
        <v>11</v>
      </c>
      <c r="S42" s="1571">
        <f t="shared" si="12"/>
        <v>100</v>
      </c>
      <c r="T42" s="1570" t="s">
        <v>11</v>
      </c>
      <c r="U42" s="1571">
        <f t="shared" si="13"/>
        <v>100</v>
      </c>
      <c r="V42" s="1570" t="s">
        <v>11</v>
      </c>
      <c r="W42" s="1571">
        <f t="shared" si="14"/>
        <v>100</v>
      </c>
      <c r="X42" s="1564"/>
      <c r="Y42" s="3463"/>
      <c r="Z42" s="1572" t="str">
        <f t="shared" si="15"/>
        <v>内部装修</v>
      </c>
      <c r="AA42" s="1573">
        <f t="shared" si="3"/>
        <v>1</v>
      </c>
      <c r="AB42" s="1573">
        <f t="shared" si="4"/>
        <v>1</v>
      </c>
      <c r="AC42" s="1573">
        <f t="shared" si="5"/>
        <v>1</v>
      </c>
    </row>
    <row r="43" spans="1:29" ht="27">
      <c r="A43" s="593"/>
      <c r="B43" s="526" t="s">
        <v>731</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63"/>
      <c r="Q43" s="1569" t="str">
        <f t="shared" si="11"/>
        <v>内部装修维护情况</v>
      </c>
      <c r="R43" s="1570" t="s">
        <v>11</v>
      </c>
      <c r="S43" s="1571">
        <f t="shared" si="12"/>
        <v>100</v>
      </c>
      <c r="T43" s="1570" t="s">
        <v>11</v>
      </c>
      <c r="U43" s="1571">
        <f t="shared" si="13"/>
        <v>100</v>
      </c>
      <c r="V43" s="1570" t="s">
        <v>11</v>
      </c>
      <c r="W43" s="1571">
        <f t="shared" si="14"/>
        <v>100</v>
      </c>
      <c r="X43" s="1564"/>
      <c r="Y43" s="3463"/>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63"/>
      <c r="Q44" s="1150">
        <f t="shared" si="11"/>
        <v>111</v>
      </c>
      <c r="R44" s="1565" t="s">
        <v>11</v>
      </c>
      <c r="S44" s="1566">
        <f t="shared" si="12"/>
        <v>100</v>
      </c>
      <c r="T44" s="1565" t="s">
        <v>11</v>
      </c>
      <c r="U44" s="1566">
        <f t="shared" si="13"/>
        <v>100</v>
      </c>
      <c r="V44" s="1565" t="s">
        <v>11</v>
      </c>
      <c r="W44" s="1566">
        <f t="shared" si="14"/>
        <v>100</v>
      </c>
      <c r="X44" s="1567"/>
      <c r="Y44" s="3463"/>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63"/>
      <c r="Q45" s="1569">
        <f t="shared" si="11"/>
        <v>111</v>
      </c>
      <c r="R45" s="1570" t="s">
        <v>11</v>
      </c>
      <c r="S45" s="1571">
        <f t="shared" si="12"/>
        <v>100</v>
      </c>
      <c r="T45" s="1570" t="s">
        <v>11</v>
      </c>
      <c r="U45" s="1571">
        <f t="shared" si="13"/>
        <v>100</v>
      </c>
      <c r="V45" s="1570" t="s">
        <v>11</v>
      </c>
      <c r="W45" s="1571">
        <f t="shared" si="14"/>
        <v>100</v>
      </c>
      <c r="X45" s="1564"/>
      <c r="Y45" s="3463"/>
      <c r="Z45" s="1572">
        <f t="shared" si="15"/>
        <v>111</v>
      </c>
      <c r="AA45" s="1573">
        <f t="shared" si="3"/>
        <v>1</v>
      </c>
      <c r="AB45" s="1573">
        <f t="shared" si="4"/>
        <v>1</v>
      </c>
      <c r="AC45" s="1573">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540"/>
      <c r="Q46" s="1569">
        <f t="shared" si="11"/>
        <v>111</v>
      </c>
      <c r="R46" s="1570" t="s">
        <v>10</v>
      </c>
      <c r="S46" s="1571">
        <f t="shared" si="12"/>
        <v>100</v>
      </c>
      <c r="T46" s="1570" t="s">
        <v>10</v>
      </c>
      <c r="U46" s="1571">
        <f t="shared" si="13"/>
        <v>100</v>
      </c>
      <c r="V46" s="1570" t="s">
        <v>10</v>
      </c>
      <c r="W46" s="1571">
        <f t="shared" si="14"/>
        <v>100</v>
      </c>
      <c r="X46" s="1564"/>
      <c r="Y46" s="3540"/>
      <c r="Z46" s="1572">
        <f t="shared" si="15"/>
        <v>111</v>
      </c>
      <c r="AA46" s="1573">
        <f t="shared" si="3"/>
        <v>1</v>
      </c>
      <c r="AB46" s="1573">
        <f t="shared" si="4"/>
        <v>1</v>
      </c>
      <c r="AC46" s="1573">
        <f t="shared" si="5"/>
        <v>1</v>
      </c>
    </row>
    <row r="47" spans="1:29" ht="15">
      <c r="A47" s="606" t="s">
        <v>732</v>
      </c>
      <c r="B47" s="886"/>
      <c r="C47" s="2649" t="s">
        <v>9</v>
      </c>
      <c r="D47" s="2650"/>
      <c r="E47" s="2651"/>
      <c r="F47" s="2652"/>
      <c r="G47" s="2653"/>
      <c r="H47" s="2654"/>
      <c r="I47" s="2651"/>
      <c r="J47" s="2654"/>
      <c r="K47" s="1603"/>
      <c r="L47" s="2142"/>
      <c r="M47" s="2143"/>
      <c r="N47" s="2132"/>
      <c r="O47" s="2143"/>
      <c r="P47" s="3426" t="str">
        <f>A47</f>
        <v>成交单价（元/平方米）</v>
      </c>
      <c r="Q47" s="3426"/>
      <c r="R47" s="3539">
        <f>E47</f>
        <v>0</v>
      </c>
      <c r="S47" s="3539"/>
      <c r="T47" s="3539">
        <f>G47</f>
        <v>0</v>
      </c>
      <c r="U47" s="3539"/>
      <c r="V47" s="3539">
        <f>I47</f>
        <v>0</v>
      </c>
      <c r="W47" s="3539"/>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4"/>
      <c r="L48" s="2142"/>
      <c r="M48" s="2143"/>
      <c r="N48" s="2143"/>
      <c r="O48" s="2143"/>
      <c r="P48" s="3426" t="str">
        <f>A48</f>
        <v>比较价格（元/平方米）</v>
      </c>
      <c r="Q48" s="3426"/>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1556"/>
      <c r="Y48" s="1556"/>
      <c r="Z48" s="1556"/>
      <c r="AA48" s="1556"/>
      <c r="AB48" s="1556"/>
      <c r="AC48" s="1556"/>
    </row>
    <row r="49" spans="1:29" ht="15.75" thickBot="1">
      <c r="A49" s="620" t="s">
        <v>2934</v>
      </c>
      <c r="B49" s="621"/>
      <c r="C49" s="2658" t="e">
        <f>R49</f>
        <v>#DIV/0!</v>
      </c>
      <c r="D49" s="2658"/>
      <c r="E49" s="2658"/>
      <c r="F49" s="2658"/>
      <c r="G49" s="2658"/>
      <c r="H49" s="2658"/>
      <c r="I49" s="2658"/>
      <c r="J49" s="2658"/>
      <c r="K49" s="1605"/>
      <c r="L49" s="2142"/>
      <c r="M49" s="2143"/>
      <c r="N49" s="2143"/>
      <c r="O49" s="2143"/>
      <c r="P49" s="3423" t="str">
        <f>A49</f>
        <v>估价对象XX用房的比较价格（楼面单价，元/平方米）</v>
      </c>
      <c r="Q49" s="3424"/>
      <c r="R49" s="3538" t="e">
        <f>IF(F1="售价",ROUND(AVERAGE(R48:V48),0),ROUND(AVERAGE(R48:V48),1))</f>
        <v>#DIV/0!</v>
      </c>
      <c r="S49" s="3538"/>
      <c r="T49" s="3538"/>
      <c r="U49" s="3538"/>
      <c r="V49" s="3538"/>
      <c r="W49" s="3538"/>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6"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6"/>
      <c r="F64" s="1606"/>
      <c r="G64" s="1606"/>
      <c r="H64" s="1606"/>
      <c r="I64" s="1606"/>
      <c r="J64" s="1606"/>
      <c r="K64" s="1606"/>
      <c r="L64" s="1606"/>
      <c r="M64" s="1607"/>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2256</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742</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743</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746</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747</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749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2556</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750</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729</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2257</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2258</v>
      </c>
      <c r="C137" s="1917"/>
      <c r="D137" s="1917"/>
      <c r="E137" s="1917"/>
      <c r="F137" s="1917"/>
      <c r="G137" s="1918"/>
      <c r="H137" s="1919"/>
      <c r="I137" s="1920" t="s">
        <v>2259</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2260</v>
      </c>
      <c r="D138" s="1923" t="s">
        <v>2261</v>
      </c>
      <c r="E138" s="1924" t="s">
        <v>2262</v>
      </c>
      <c r="F138" s="1925" t="s">
        <v>2263</v>
      </c>
      <c r="G138" s="1923" t="s">
        <v>2264</v>
      </c>
      <c r="H138" s="1926" t="s">
        <v>2265</v>
      </c>
      <c r="I138" s="1927"/>
      <c r="J138" s="1923" t="s">
        <v>2266</v>
      </c>
      <c r="K138" s="1926" t="s">
        <v>2267</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2268</v>
      </c>
      <c r="E139" s="1897">
        <v>100</v>
      </c>
      <c r="F139" s="1898">
        <v>102.5</v>
      </c>
      <c r="G139" s="1928" t="s">
        <v>2269</v>
      </c>
      <c r="H139" s="1899">
        <v>105</v>
      </c>
      <c r="I139" s="1929" t="s">
        <v>2270</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2271</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2272</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2273</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2274</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2275</v>
      </c>
      <c r="E144" s="1903">
        <v>102</v>
      </c>
      <c r="F144" s="1909">
        <v>100</v>
      </c>
      <c r="G144" s="1932" t="s">
        <v>2275</v>
      </c>
      <c r="H144" s="1905">
        <v>105</v>
      </c>
      <c r="I144" s="1931" t="s">
        <v>2274</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2276</v>
      </c>
      <c r="C145" s="1910">
        <f>ROUND(MAX(C139:C144)/MIN(C139:C144)-1,3)</f>
        <v>7.2999999999999995E-2</v>
      </c>
      <c r="D145" s="1934"/>
      <c r="E145" s="1934"/>
      <c r="F145" s="1935" t="s">
        <v>2277</v>
      </c>
      <c r="G145" s="1936"/>
      <c r="H145" s="1937"/>
      <c r="I145" s="1938" t="s">
        <v>2274</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2286</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2287</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753</v>
      </c>
      <c r="C1" s="503" t="s">
        <v>716</v>
      </c>
      <c r="D1" s="236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515</v>
      </c>
      <c r="B3" s="509" t="e">
        <f>C49</f>
        <v>#DIV/0!</v>
      </c>
      <c r="C3" s="851" t="s">
        <v>718</v>
      </c>
      <c r="D3" s="850">
        <f>SUMIF('数据-汇总表'!$C19:$C33,D1,'数据-汇总表'!$E19:$E33)</f>
        <v>0</v>
      </c>
      <c r="E3" s="2059"/>
      <c r="F3" s="2127"/>
      <c r="G3" s="2126"/>
      <c r="H3" s="2126"/>
      <c r="I3" s="2126"/>
      <c r="J3" s="2126"/>
      <c r="K3" s="2128"/>
      <c r="L3" s="2129"/>
      <c r="M3" s="2130"/>
      <c r="N3" s="2130"/>
      <c r="O3" s="2130"/>
      <c r="P3" s="1561"/>
      <c r="Q3" s="1561"/>
      <c r="R3" s="1561"/>
      <c r="S3" s="1561"/>
      <c r="T3" s="1561"/>
      <c r="U3" s="1561"/>
      <c r="V3" s="1561"/>
      <c r="W3" s="1561"/>
      <c r="X3" s="1561"/>
      <c r="Y3" s="1561"/>
      <c r="Z3" s="1561"/>
      <c r="AA3" s="1561"/>
      <c r="AB3" s="1561"/>
      <c r="AC3" s="427"/>
    </row>
    <row r="4" spans="1:29" ht="15">
      <c r="A4" s="511" t="s">
        <v>517</v>
      </c>
      <c r="B4" s="512"/>
      <c r="C4" s="3432" t="s">
        <v>518</v>
      </c>
      <c r="D4" s="3433"/>
      <c r="E4" s="3466" t="s">
        <v>519</v>
      </c>
      <c r="F4" s="3467"/>
      <c r="G4" s="3432" t="s">
        <v>520</v>
      </c>
      <c r="H4" s="3433"/>
      <c r="I4" s="3432" t="s">
        <v>521</v>
      </c>
      <c r="J4" s="3433"/>
      <c r="K4" s="513" t="s">
        <v>522</v>
      </c>
      <c r="L4" s="2131"/>
      <c r="M4" s="2132"/>
      <c r="N4" s="2132"/>
      <c r="O4" s="2132"/>
      <c r="P4" s="3434" t="s">
        <v>523</v>
      </c>
      <c r="Q4" s="3435"/>
      <c r="R4" s="3440" t="s">
        <v>519</v>
      </c>
      <c r="S4" s="3441"/>
      <c r="T4" s="3440" t="s">
        <v>520</v>
      </c>
      <c r="U4" s="3441"/>
      <c r="V4" s="3427" t="s">
        <v>521</v>
      </c>
      <c r="W4" s="3427"/>
      <c r="X4" s="1564"/>
      <c r="Y4" s="3440" t="s">
        <v>523</v>
      </c>
      <c r="Z4" s="3441"/>
      <c r="AA4" s="3429" t="s">
        <v>519</v>
      </c>
      <c r="AB4" s="3427" t="s">
        <v>520</v>
      </c>
      <c r="AC4" s="3429" t="s">
        <v>521</v>
      </c>
    </row>
    <row r="5" spans="1:29" ht="15">
      <c r="A5" s="514"/>
      <c r="B5" s="515"/>
      <c r="C5" s="3448" t="s">
        <v>2928</v>
      </c>
      <c r="D5" s="3449"/>
      <c r="E5" s="3468" t="s">
        <v>2929</v>
      </c>
      <c r="F5" s="3469"/>
      <c r="G5" s="3448" t="s">
        <v>2930</v>
      </c>
      <c r="H5" s="3449"/>
      <c r="I5" s="3448" t="s">
        <v>2931</v>
      </c>
      <c r="J5" s="3449"/>
      <c r="K5" s="513"/>
      <c r="L5" s="2131"/>
      <c r="M5" s="2132"/>
      <c r="N5" s="2132"/>
      <c r="O5" s="2132"/>
      <c r="P5" s="3436"/>
      <c r="Q5" s="3437"/>
      <c r="R5" s="3442"/>
      <c r="S5" s="3443"/>
      <c r="T5" s="3442"/>
      <c r="U5" s="3443"/>
      <c r="V5" s="3427"/>
      <c r="W5" s="3427"/>
      <c r="X5" s="1564"/>
      <c r="Y5" s="3442"/>
      <c r="Z5" s="3443"/>
      <c r="AA5" s="3430"/>
      <c r="AB5" s="3427"/>
      <c r="AC5" s="3430"/>
    </row>
    <row r="6" spans="1:29" ht="15.75" thickBot="1">
      <c r="A6" s="516"/>
      <c r="B6" s="517"/>
      <c r="C6" s="3446" t="s">
        <v>2932</v>
      </c>
      <c r="D6" s="3447"/>
      <c r="E6" s="3464" t="s">
        <v>2932</v>
      </c>
      <c r="F6" s="3465"/>
      <c r="G6" s="3446" t="s">
        <v>2932</v>
      </c>
      <c r="H6" s="3447"/>
      <c r="I6" s="3446" t="s">
        <v>2932</v>
      </c>
      <c r="J6" s="3447"/>
      <c r="K6" s="513" t="s">
        <v>524</v>
      </c>
      <c r="L6" s="2131"/>
      <c r="M6" s="2132"/>
      <c r="N6" s="2132"/>
      <c r="O6" s="2132"/>
      <c r="P6" s="3438"/>
      <c r="Q6" s="3439"/>
      <c r="R6" s="3442"/>
      <c r="S6" s="3443"/>
      <c r="T6" s="3444"/>
      <c r="U6" s="3445"/>
      <c r="V6" s="3427"/>
      <c r="W6" s="3427"/>
      <c r="X6" s="1564"/>
      <c r="Y6" s="3444"/>
      <c r="Z6" s="3445"/>
      <c r="AA6" s="3431"/>
      <c r="AB6" s="3427"/>
      <c r="AC6" s="3431"/>
    </row>
    <row r="7" spans="1:29" s="1219" customFormat="1" ht="15.75" thickBot="1">
      <c r="A7" s="2934"/>
      <c r="B7" s="2941" t="s">
        <v>525</v>
      </c>
      <c r="C7" s="518">
        <f>'数据-取费表'!B2</f>
        <v>43234</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57" t="s">
        <v>526</v>
      </c>
      <c r="Q7" s="3459"/>
      <c r="R7" s="1565" t="s">
        <v>8</v>
      </c>
      <c r="S7" s="1566">
        <f t="shared" ref="S7:S15" si="0">F7</f>
        <v>0</v>
      </c>
      <c r="T7" s="1565" t="s">
        <v>8</v>
      </c>
      <c r="U7" s="1566">
        <f t="shared" ref="U7:U15" si="1">H7</f>
        <v>0</v>
      </c>
      <c r="V7" s="1565" t="s">
        <v>8</v>
      </c>
      <c r="W7" s="1566">
        <f t="shared" ref="W7:W15" si="2">J7</f>
        <v>0</v>
      </c>
      <c r="X7" s="1567"/>
      <c r="Y7" s="3457" t="s">
        <v>526</v>
      </c>
      <c r="Z7" s="3458"/>
      <c r="AA7" s="1568" t="e">
        <f>D7/F7</f>
        <v>#DIV/0!</v>
      </c>
      <c r="AB7" s="1568" t="e">
        <f>D7/H7</f>
        <v>#DIV/0!</v>
      </c>
      <c r="AC7" s="1568" t="e">
        <f>D7/J7</f>
        <v>#DIV/0!</v>
      </c>
    </row>
    <row r="8" spans="1:29" s="1219" customFormat="1" ht="15.75" thickBot="1">
      <c r="A8" s="2935"/>
      <c r="B8" s="2942" t="s">
        <v>527</v>
      </c>
      <c r="C8" s="524" t="s">
        <v>572</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57" t="s">
        <v>529</v>
      </c>
      <c r="Q8" s="3458"/>
      <c r="R8" s="1565" t="s">
        <v>8</v>
      </c>
      <c r="S8" s="1566">
        <f t="shared" si="0"/>
        <v>0</v>
      </c>
      <c r="T8" s="1565" t="s">
        <v>8</v>
      </c>
      <c r="U8" s="1566">
        <f t="shared" si="1"/>
        <v>0</v>
      </c>
      <c r="V8" s="1565" t="s">
        <v>8</v>
      </c>
      <c r="W8" s="1566">
        <f t="shared" si="2"/>
        <v>0</v>
      </c>
      <c r="X8" s="1567"/>
      <c r="Y8" s="3457" t="s">
        <v>529</v>
      </c>
      <c r="Z8" s="3458"/>
      <c r="AA8" s="1568" t="e">
        <f t="shared" ref="AA8:AA46" si="3">D8/F8</f>
        <v>#DIV/0!</v>
      </c>
      <c r="AB8" s="1568" t="e">
        <f t="shared" ref="AB8:AB46" si="4">D8/H8</f>
        <v>#DIV/0!</v>
      </c>
      <c r="AC8" s="1568" t="e">
        <f t="shared" ref="AC8:AC46" si="5">D8/J8</f>
        <v>#DIV/0!</v>
      </c>
    </row>
    <row r="9" spans="1:29" s="1219" customFormat="1" ht="15">
      <c r="A9" s="2936"/>
      <c r="B9" s="2943" t="s">
        <v>2756</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426" t="s">
        <v>531</v>
      </c>
      <c r="Q9" s="1150" t="str">
        <f t="shared" ref="Q9:Q15" si="6">B9</f>
        <v>用途</v>
      </c>
      <c r="R9" s="1565" t="s">
        <v>8</v>
      </c>
      <c r="S9" s="1566">
        <f t="shared" si="0"/>
        <v>100</v>
      </c>
      <c r="T9" s="1565" t="s">
        <v>8</v>
      </c>
      <c r="U9" s="1566">
        <f t="shared" si="1"/>
        <v>100</v>
      </c>
      <c r="V9" s="1565" t="s">
        <v>8</v>
      </c>
      <c r="W9" s="1566">
        <f t="shared" si="2"/>
        <v>100</v>
      </c>
      <c r="X9" s="1567"/>
      <c r="Y9" s="3372"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426"/>
      <c r="Q10" s="1150" t="str">
        <f t="shared" si="6"/>
        <v>土地使用年限（年）</v>
      </c>
      <c r="R10" s="1565" t="s">
        <v>8</v>
      </c>
      <c r="S10" s="1566">
        <f t="shared" si="0"/>
        <v>100</v>
      </c>
      <c r="T10" s="1565" t="s">
        <v>8</v>
      </c>
      <c r="U10" s="1566">
        <f t="shared" si="1"/>
        <v>100</v>
      </c>
      <c r="V10" s="1565" t="s">
        <v>8</v>
      </c>
      <c r="W10" s="1566">
        <f t="shared" si="2"/>
        <v>100</v>
      </c>
      <c r="X10" s="1567"/>
      <c r="Y10" s="3372"/>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426"/>
      <c r="Q11" s="1150" t="str">
        <f t="shared" si="6"/>
        <v>容积率</v>
      </c>
      <c r="R11" s="1565" t="s">
        <v>8</v>
      </c>
      <c r="S11" s="1566" t="e">
        <f t="shared" si="0"/>
        <v>#N/A</v>
      </c>
      <c r="T11" s="1565" t="s">
        <v>8</v>
      </c>
      <c r="U11" s="1566" t="e">
        <f t="shared" si="1"/>
        <v>#N/A</v>
      </c>
      <c r="V11" s="1565" t="s">
        <v>8</v>
      </c>
      <c r="W11" s="1566" t="e">
        <f t="shared" si="2"/>
        <v>#N/A</v>
      </c>
      <c r="X11" s="1567"/>
      <c r="Y11" s="3372"/>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426"/>
      <c r="Q12" s="1150">
        <f t="shared" si="6"/>
        <v>111</v>
      </c>
      <c r="R12" s="1565" t="s">
        <v>8</v>
      </c>
      <c r="S12" s="1566">
        <f t="shared" si="0"/>
        <v>100</v>
      </c>
      <c r="T12" s="1565" t="s">
        <v>8</v>
      </c>
      <c r="U12" s="1566">
        <f t="shared" si="1"/>
        <v>100</v>
      </c>
      <c r="V12" s="1565" t="s">
        <v>8</v>
      </c>
      <c r="W12" s="1566">
        <f t="shared" si="2"/>
        <v>100</v>
      </c>
      <c r="X12" s="1567"/>
      <c r="Y12" s="3372"/>
      <c r="Z12" s="1149">
        <f t="shared" si="7"/>
        <v>111</v>
      </c>
      <c r="AA12" s="1568">
        <f>D12/F12</f>
        <v>1</v>
      </c>
      <c r="AB12" s="1568">
        <f>D12/H12</f>
        <v>1</v>
      </c>
      <c r="AC12" s="1568">
        <f>D12/J12</f>
        <v>1</v>
      </c>
    </row>
    <row r="13" spans="1:29" ht="15">
      <c r="A13" s="2939"/>
      <c r="B13" s="2945">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426"/>
      <c r="Q13" s="1150">
        <f t="shared" si="6"/>
        <v>111</v>
      </c>
      <c r="R13" s="1565" t="s">
        <v>8</v>
      </c>
      <c r="S13" s="1566">
        <f t="shared" si="0"/>
        <v>100</v>
      </c>
      <c r="T13" s="1565" t="s">
        <v>8</v>
      </c>
      <c r="U13" s="1566">
        <f t="shared" si="1"/>
        <v>100</v>
      </c>
      <c r="V13" s="1565" t="s">
        <v>8</v>
      </c>
      <c r="W13" s="1566">
        <f t="shared" si="2"/>
        <v>100</v>
      </c>
      <c r="X13" s="1567"/>
      <c r="Y13" s="3372"/>
      <c r="Z13" s="1149">
        <f t="shared" si="7"/>
        <v>111</v>
      </c>
      <c r="AA13" s="1568">
        <f t="shared" si="3"/>
        <v>1</v>
      </c>
      <c r="AB13" s="1568">
        <f t="shared" si="4"/>
        <v>1</v>
      </c>
      <c r="AC13" s="1568">
        <f t="shared" si="5"/>
        <v>1</v>
      </c>
    </row>
    <row r="14" spans="1:29" ht="15.75" thickBot="1">
      <c r="A14" s="2940"/>
      <c r="B14" s="2946">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426"/>
      <c r="Q14" s="1150">
        <f t="shared" si="6"/>
        <v>111</v>
      </c>
      <c r="R14" s="1565" t="s">
        <v>8</v>
      </c>
      <c r="S14" s="1566">
        <f t="shared" si="0"/>
        <v>100</v>
      </c>
      <c r="T14" s="1565" t="s">
        <v>8</v>
      </c>
      <c r="U14" s="1566">
        <f t="shared" si="1"/>
        <v>100</v>
      </c>
      <c r="V14" s="1565" t="s">
        <v>8</v>
      </c>
      <c r="W14" s="1566">
        <f t="shared" si="2"/>
        <v>100</v>
      </c>
      <c r="X14" s="1567"/>
      <c r="Y14" s="3372"/>
      <c r="Z14" s="1149">
        <f t="shared" si="7"/>
        <v>111</v>
      </c>
      <c r="AA14" s="1568">
        <f t="shared" si="3"/>
        <v>1</v>
      </c>
      <c r="AB14" s="1568">
        <f t="shared" si="4"/>
        <v>1</v>
      </c>
      <c r="AC14" s="1568">
        <f t="shared" si="5"/>
        <v>1</v>
      </c>
    </row>
    <row r="15" spans="1:29" ht="71.25">
      <c r="A15" s="2932" t="s">
        <v>2754</v>
      </c>
      <c r="B15" s="166" t="s">
        <v>537</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60" t="s">
        <v>536</v>
      </c>
      <c r="Q15" s="1569" t="str">
        <f t="shared" si="6"/>
        <v>商业繁华度</v>
      </c>
      <c r="R15" s="1570" t="s">
        <v>8</v>
      </c>
      <c r="S15" s="1571">
        <f t="shared" si="0"/>
        <v>100</v>
      </c>
      <c r="T15" s="1570" t="s">
        <v>8</v>
      </c>
      <c r="U15" s="1571">
        <f t="shared" si="1"/>
        <v>100</v>
      </c>
      <c r="V15" s="1570" t="s">
        <v>8</v>
      </c>
      <c r="W15" s="1571">
        <f t="shared" si="2"/>
        <v>100</v>
      </c>
      <c r="X15" s="1564"/>
      <c r="Y15" s="3460" t="s">
        <v>536</v>
      </c>
      <c r="Z15" s="1572" t="str">
        <f t="shared" si="7"/>
        <v>商业繁华度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61"/>
      <c r="Q16" s="1569"/>
      <c r="R16" s="1570"/>
      <c r="S16" s="1571"/>
      <c r="T16" s="1570"/>
      <c r="U16" s="1571"/>
      <c r="V16" s="1570"/>
      <c r="W16" s="1571"/>
      <c r="X16" s="1564"/>
      <c r="Y16" s="3461"/>
      <c r="Z16" s="1572"/>
      <c r="AA16" s="1573">
        <v>1</v>
      </c>
      <c r="AB16" s="1573">
        <v>1</v>
      </c>
      <c r="AC16" s="1573">
        <v>1</v>
      </c>
    </row>
    <row r="17" spans="1:29" ht="114">
      <c r="A17" s="531"/>
      <c r="B17" s="870" t="s">
        <v>292</v>
      </c>
      <c r="C17" s="871" t="str">
        <f>估价对象房地状况!C6</f>
        <v>估价对象周边道路状况、公共交通通达情况：有836、917、房12等多路公交车，停车便捷程度，综合评价交通便捷度一般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61"/>
      <c r="Q17" s="1569" t="str">
        <f>B17</f>
        <v>交通便捷度</v>
      </c>
      <c r="R17" s="1570" t="s">
        <v>8</v>
      </c>
      <c r="S17" s="1571">
        <f>F17</f>
        <v>100</v>
      </c>
      <c r="T17" s="1570" t="s">
        <v>8</v>
      </c>
      <c r="U17" s="1571">
        <f>H17</f>
        <v>100</v>
      </c>
      <c r="V17" s="1570" t="s">
        <v>8</v>
      </c>
      <c r="W17" s="1571">
        <f>J17</f>
        <v>100</v>
      </c>
      <c r="X17" s="1564"/>
      <c r="Y17" s="3461"/>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61"/>
      <c r="Q18" s="1569"/>
      <c r="R18" s="1570"/>
      <c r="S18" s="1571"/>
      <c r="T18" s="1570"/>
      <c r="U18" s="1571"/>
      <c r="V18" s="1570"/>
      <c r="W18" s="1571"/>
      <c r="X18" s="1564"/>
      <c r="Y18" s="3461"/>
      <c r="Z18" s="1572"/>
      <c r="AA18" s="1573">
        <v>1</v>
      </c>
      <c r="AB18" s="1573">
        <v>1</v>
      </c>
      <c r="AC18" s="1573">
        <v>1</v>
      </c>
    </row>
    <row r="19" spans="1:29" ht="42.75">
      <c r="A19" s="531"/>
      <c r="B19" s="2622" t="s">
        <v>2546</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61"/>
      <c r="Q19" s="1569" t="str">
        <f>B19</f>
        <v>公共配套设施</v>
      </c>
      <c r="R19" s="1570" t="s">
        <v>8</v>
      </c>
      <c r="S19" s="1571">
        <f>F19</f>
        <v>100</v>
      </c>
      <c r="T19" s="1570" t="s">
        <v>8</v>
      </c>
      <c r="U19" s="1571">
        <f>H19</f>
        <v>100</v>
      </c>
      <c r="V19" s="1570" t="s">
        <v>8</v>
      </c>
      <c r="W19" s="1571">
        <f>J19</f>
        <v>100</v>
      </c>
      <c r="X19" s="1564"/>
      <c r="Y19" s="3461"/>
      <c r="Z19" s="1572" t="str">
        <f>Q19</f>
        <v>公共配套设施</v>
      </c>
      <c r="AA19" s="1573">
        <f t="shared" si="3"/>
        <v>1</v>
      </c>
      <c r="AB19" s="1573">
        <f t="shared" si="4"/>
        <v>1</v>
      </c>
      <c r="AC19" s="1573">
        <f t="shared" si="5"/>
        <v>1</v>
      </c>
    </row>
    <row r="20" spans="1:29" ht="15">
      <c r="A20" s="531"/>
      <c r="B20" s="594"/>
      <c r="C20" s="575"/>
      <c r="D20" s="554"/>
      <c r="E20" s="555"/>
      <c r="F20" s="556"/>
      <c r="G20" s="557"/>
      <c r="H20" s="554"/>
      <c r="I20" s="555"/>
      <c r="J20" s="554"/>
      <c r="K20" s="898"/>
      <c r="L20" s="2140"/>
      <c r="M20" s="2132"/>
      <c r="N20" s="2132"/>
      <c r="O20" s="2139"/>
      <c r="P20" s="3461"/>
      <c r="Q20" s="1569"/>
      <c r="R20" s="1570"/>
      <c r="S20" s="1571"/>
      <c r="T20" s="1570"/>
      <c r="U20" s="1571"/>
      <c r="V20" s="1570"/>
      <c r="W20" s="1571"/>
      <c r="X20" s="1564"/>
      <c r="Y20" s="3461"/>
      <c r="Z20" s="1572"/>
      <c r="AA20" s="1573">
        <v>1</v>
      </c>
      <c r="AB20" s="1573">
        <v>1</v>
      </c>
      <c r="AC20" s="1573">
        <v>1</v>
      </c>
    </row>
    <row r="21" spans="1:29" ht="28.5">
      <c r="A21" s="531"/>
      <c r="B21" s="2615" t="s">
        <v>2558</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61"/>
      <c r="Q21" s="2601" t="str">
        <f>B21</f>
        <v>基础设施水平</v>
      </c>
      <c r="R21" s="1570" t="s">
        <v>8</v>
      </c>
      <c r="S21" s="1571">
        <f>F21</f>
        <v>100</v>
      </c>
      <c r="T21" s="1570" t="s">
        <v>8</v>
      </c>
      <c r="U21" s="1571">
        <f>H21</f>
        <v>100</v>
      </c>
      <c r="V21" s="1570" t="s">
        <v>8</v>
      </c>
      <c r="W21" s="1571">
        <f>J21</f>
        <v>100</v>
      </c>
      <c r="X21" s="2603"/>
      <c r="Y21" s="3461"/>
      <c r="Z21" s="2602" t="str">
        <f>Q21</f>
        <v>基础设施水平</v>
      </c>
      <c r="AA21" s="1573">
        <f t="shared" ref="AA21" si="8">D21/F21</f>
        <v>1</v>
      </c>
      <c r="AB21" s="1573">
        <f t="shared" ref="AB21" si="9">D21/H21</f>
        <v>1</v>
      </c>
      <c r="AC21" s="1573">
        <f t="shared" ref="AC21" si="10">D21/J21</f>
        <v>1</v>
      </c>
    </row>
    <row r="22" spans="1:29" ht="15">
      <c r="A22" s="531"/>
      <c r="B22" s="921"/>
      <c r="C22" s="872"/>
      <c r="D22" s="554"/>
      <c r="E22" s="575"/>
      <c r="F22" s="556"/>
      <c r="G22" s="575"/>
      <c r="H22" s="554"/>
      <c r="I22" s="575"/>
      <c r="J22" s="554"/>
      <c r="K22" s="2624"/>
      <c r="L22" s="2140"/>
      <c r="M22" s="2132"/>
      <c r="N22" s="2132"/>
      <c r="O22" s="2139"/>
      <c r="P22" s="3461"/>
      <c r="Q22" s="2601"/>
      <c r="R22" s="1570"/>
      <c r="S22" s="1571"/>
      <c r="T22" s="1570"/>
      <c r="U22" s="1571"/>
      <c r="V22" s="1570"/>
      <c r="W22" s="1571"/>
      <c r="X22" s="2603"/>
      <c r="Y22" s="3461"/>
      <c r="Z22" s="2602"/>
      <c r="AA22" s="1573">
        <v>1</v>
      </c>
      <c r="AB22" s="1573">
        <v>1</v>
      </c>
      <c r="AC22" s="1573">
        <v>1</v>
      </c>
    </row>
    <row r="23" spans="1:29" ht="99.75">
      <c r="A23" s="531"/>
      <c r="B23" s="870" t="s">
        <v>293</v>
      </c>
      <c r="C23" s="899" t="str">
        <f>估价对象房地状况!C9</f>
        <v>周边2公里区域自然环境：牛口峪公园、周口店人民公园；人文环境：北京猿人遗址；综合评价环境状况较好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61"/>
      <c r="Q23" s="1569" t="str">
        <f>B23</f>
        <v>自然及人文环境</v>
      </c>
      <c r="R23" s="1570" t="s">
        <v>8</v>
      </c>
      <c r="S23" s="1571">
        <f>F23</f>
        <v>100</v>
      </c>
      <c r="T23" s="1570" t="s">
        <v>8</v>
      </c>
      <c r="U23" s="1571">
        <f>H23</f>
        <v>100</v>
      </c>
      <c r="V23" s="1570" t="s">
        <v>8</v>
      </c>
      <c r="W23" s="1571">
        <f>J23</f>
        <v>100</v>
      </c>
      <c r="X23" s="1564"/>
      <c r="Y23" s="3461"/>
      <c r="Z23" s="1572" t="str">
        <f>Q23</f>
        <v>自然及人文环境</v>
      </c>
      <c r="AA23" s="1573">
        <f t="shared" si="3"/>
        <v>1</v>
      </c>
      <c r="AB23" s="1573">
        <f t="shared" si="4"/>
        <v>1</v>
      </c>
      <c r="AC23" s="1573">
        <f t="shared" si="5"/>
        <v>1</v>
      </c>
    </row>
    <row r="24" spans="1:29" ht="15">
      <c r="A24" s="531"/>
      <c r="B24" s="594"/>
      <c r="C24" s="575"/>
      <c r="D24" s="554"/>
      <c r="E24" s="555"/>
      <c r="F24" s="556"/>
      <c r="G24" s="557"/>
      <c r="H24" s="554"/>
      <c r="I24" s="555"/>
      <c r="J24" s="554"/>
      <c r="K24" s="898"/>
      <c r="L24" s="2140"/>
      <c r="M24" s="2132"/>
      <c r="N24" s="2132"/>
      <c r="O24" s="2139"/>
      <c r="P24" s="3461"/>
      <c r="Q24" s="1569"/>
      <c r="R24" s="1570"/>
      <c r="S24" s="1571"/>
      <c r="T24" s="1570"/>
      <c r="U24" s="1571"/>
      <c r="V24" s="1570"/>
      <c r="W24" s="1571"/>
      <c r="X24" s="1564"/>
      <c r="Y24" s="3461"/>
      <c r="Z24" s="1572"/>
      <c r="AA24" s="1573">
        <v>1</v>
      </c>
      <c r="AB24" s="1573">
        <v>1</v>
      </c>
      <c r="AC24" s="1573">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61"/>
      <c r="Q25" s="1569" t="str">
        <f t="shared" ref="Q25:Q46" si="11">B25</f>
        <v>临街状况</v>
      </c>
      <c r="R25" s="1570" t="s">
        <v>8</v>
      </c>
      <c r="S25" s="1571">
        <f>F25</f>
        <v>100</v>
      </c>
      <c r="T25" s="1570" t="s">
        <v>8</v>
      </c>
      <c r="U25" s="1571">
        <f>H25</f>
        <v>100</v>
      </c>
      <c r="V25" s="1570" t="s">
        <v>8</v>
      </c>
      <c r="W25" s="1571">
        <f>J25</f>
        <v>100</v>
      </c>
      <c r="X25" s="1564"/>
      <c r="Y25" s="3461"/>
      <c r="Z25" s="1572" t="str">
        <f>Q25</f>
        <v>临街状况</v>
      </c>
      <c r="AA25" s="1573">
        <f t="shared" si="3"/>
        <v>1</v>
      </c>
      <c r="AB25" s="1573">
        <f t="shared" si="4"/>
        <v>1</v>
      </c>
      <c r="AC25" s="1573">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61"/>
      <c r="Q26" s="1569" t="str">
        <f t="shared" si="11"/>
        <v>平面位置/可视性</v>
      </c>
      <c r="R26" s="1570" t="s">
        <v>8</v>
      </c>
      <c r="S26" s="1571">
        <f>F26</f>
        <v>100</v>
      </c>
      <c r="T26" s="1570" t="s">
        <v>8</v>
      </c>
      <c r="U26" s="1571">
        <f>H26</f>
        <v>100</v>
      </c>
      <c r="V26" s="1570" t="s">
        <v>8</v>
      </c>
      <c r="W26" s="1571">
        <f>J26</f>
        <v>100</v>
      </c>
      <c r="X26" s="1564"/>
      <c r="Y26" s="3461"/>
      <c r="Z26" s="1572" t="str">
        <f>Q26</f>
        <v>平面位置/可视性</v>
      </c>
      <c r="AA26" s="1573">
        <f t="shared" si="3"/>
        <v>1</v>
      </c>
      <c r="AB26" s="1573">
        <f t="shared" si="4"/>
        <v>1</v>
      </c>
      <c r="AC26" s="1573">
        <f t="shared" si="5"/>
        <v>1</v>
      </c>
    </row>
    <row r="27" spans="1:29" s="1219" customFormat="1" ht="15">
      <c r="A27" s="535"/>
      <c r="B27" s="870" t="s">
        <v>755</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61"/>
      <c r="Q27" s="1150" t="str">
        <f t="shared" si="11"/>
        <v>人流量</v>
      </c>
      <c r="R27" s="1565" t="s">
        <v>8</v>
      </c>
      <c r="S27" s="1566">
        <f>F27</f>
        <v>100</v>
      </c>
      <c r="T27" s="1565" t="s">
        <v>8</v>
      </c>
      <c r="U27" s="1566">
        <f>H27</f>
        <v>100</v>
      </c>
      <c r="V27" s="1565" t="s">
        <v>8</v>
      </c>
      <c r="W27" s="1566">
        <f>J27</f>
        <v>100</v>
      </c>
      <c r="X27" s="1567"/>
      <c r="Y27" s="3461"/>
      <c r="Z27" s="1149" t="str">
        <f>Q27</f>
        <v>人流量</v>
      </c>
      <c r="AA27" s="1573">
        <f>D27/F27</f>
        <v>1</v>
      </c>
      <c r="AB27" s="1573">
        <f>D27/H27</f>
        <v>1</v>
      </c>
      <c r="AC27" s="1573">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61"/>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61"/>
      <c r="Z28" s="1572" t="str">
        <f t="shared" ref="Z28:Z46" si="15">Q28</f>
        <v>楼层</v>
      </c>
      <c r="AA28" s="1573">
        <f t="shared" si="3"/>
        <v>1</v>
      </c>
      <c r="AB28" s="1573">
        <f t="shared" si="4"/>
        <v>1</v>
      </c>
      <c r="AC28" s="1573">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61"/>
      <c r="Q29" s="1569">
        <f t="shared" si="11"/>
        <v>111</v>
      </c>
      <c r="R29" s="1570" t="s">
        <v>8</v>
      </c>
      <c r="S29" s="1571">
        <f t="shared" si="12"/>
        <v>100</v>
      </c>
      <c r="T29" s="1570" t="s">
        <v>8</v>
      </c>
      <c r="U29" s="1571">
        <f t="shared" si="13"/>
        <v>100</v>
      </c>
      <c r="V29" s="1570" t="s">
        <v>8</v>
      </c>
      <c r="W29" s="1571">
        <f t="shared" si="14"/>
        <v>100</v>
      </c>
      <c r="X29" s="1564"/>
      <c r="Y29" s="3461"/>
      <c r="Z29" s="1572">
        <f t="shared" si="15"/>
        <v>111</v>
      </c>
      <c r="AA29" s="1573">
        <f t="shared" si="3"/>
        <v>1</v>
      </c>
      <c r="AB29" s="1573">
        <f t="shared" si="4"/>
        <v>1</v>
      </c>
      <c r="AC29" s="1573">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61"/>
      <c r="Q30" s="1569">
        <f t="shared" si="11"/>
        <v>111</v>
      </c>
      <c r="R30" s="1570" t="s">
        <v>8</v>
      </c>
      <c r="S30" s="1571">
        <f t="shared" si="12"/>
        <v>100</v>
      </c>
      <c r="T30" s="1570" t="s">
        <v>8</v>
      </c>
      <c r="U30" s="1571">
        <f t="shared" si="13"/>
        <v>100</v>
      </c>
      <c r="V30" s="1570" t="s">
        <v>8</v>
      </c>
      <c r="W30" s="1571">
        <f t="shared" si="14"/>
        <v>100</v>
      </c>
      <c r="X30" s="1564"/>
      <c r="Y30" s="3461"/>
      <c r="Z30" s="1572">
        <f t="shared" si="15"/>
        <v>111</v>
      </c>
      <c r="AA30" s="1573">
        <f t="shared" si="3"/>
        <v>1</v>
      </c>
      <c r="AB30" s="1573">
        <f t="shared" si="4"/>
        <v>1</v>
      </c>
      <c r="AC30" s="1573">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61"/>
      <c r="Q31" s="1569">
        <f t="shared" si="11"/>
        <v>111</v>
      </c>
      <c r="R31" s="1570" t="s">
        <v>8</v>
      </c>
      <c r="S31" s="1571">
        <f t="shared" si="12"/>
        <v>100</v>
      </c>
      <c r="T31" s="1570" t="s">
        <v>8</v>
      </c>
      <c r="U31" s="1571">
        <f t="shared" si="13"/>
        <v>100</v>
      </c>
      <c r="V31" s="1570" t="s">
        <v>8</v>
      </c>
      <c r="W31" s="1571">
        <f t="shared" si="14"/>
        <v>100</v>
      </c>
      <c r="X31" s="1564"/>
      <c r="Y31" s="3461"/>
      <c r="Z31" s="1572">
        <f t="shared" si="15"/>
        <v>111</v>
      </c>
      <c r="AA31" s="1573">
        <f t="shared" si="3"/>
        <v>1</v>
      </c>
      <c r="AB31" s="1573">
        <f t="shared" si="4"/>
        <v>1</v>
      </c>
      <c r="AC31" s="1573">
        <f t="shared" si="5"/>
        <v>1</v>
      </c>
    </row>
    <row r="32" spans="1:29" ht="15">
      <c r="A32" s="2929"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62" t="s">
        <v>546</v>
      </c>
      <c r="Q32" s="1569" t="str">
        <f t="shared" si="11"/>
        <v>商业类型</v>
      </c>
      <c r="R32" s="1570" t="s">
        <v>8</v>
      </c>
      <c r="S32" s="1571">
        <f t="shared" si="12"/>
        <v>100</v>
      </c>
      <c r="T32" s="1570" t="s">
        <v>8</v>
      </c>
      <c r="U32" s="1571">
        <f t="shared" si="13"/>
        <v>100</v>
      </c>
      <c r="V32" s="1570" t="s">
        <v>8</v>
      </c>
      <c r="W32" s="1571">
        <f t="shared" si="14"/>
        <v>100</v>
      </c>
      <c r="X32" s="1564"/>
      <c r="Y32" s="3463" t="s">
        <v>546</v>
      </c>
      <c r="Z32" s="1572" t="str">
        <f t="shared" si="15"/>
        <v>商业类型</v>
      </c>
      <c r="AA32" s="1573">
        <f t="shared" si="3"/>
        <v>1</v>
      </c>
      <c r="AB32" s="1573">
        <f t="shared" si="4"/>
        <v>1</v>
      </c>
      <c r="AC32" s="1573">
        <f t="shared" si="5"/>
        <v>1</v>
      </c>
    </row>
    <row r="33" spans="1:29" s="1338" customFormat="1" ht="15">
      <c r="A33" s="602"/>
      <c r="B33" s="526" t="s">
        <v>722</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63"/>
      <c r="Q33" s="1602" t="str">
        <f t="shared" si="11"/>
        <v>项目建筑规模</v>
      </c>
      <c r="R33" s="1574" t="s">
        <v>8</v>
      </c>
      <c r="S33" s="1575" t="e">
        <f t="shared" si="12"/>
        <v>#N/A</v>
      </c>
      <c r="T33" s="1574" t="s">
        <v>8</v>
      </c>
      <c r="U33" s="1575" t="e">
        <f t="shared" si="13"/>
        <v>#N/A</v>
      </c>
      <c r="V33" s="1574" t="s">
        <v>8</v>
      </c>
      <c r="W33" s="1575" t="e">
        <f t="shared" si="14"/>
        <v>#N/A</v>
      </c>
      <c r="X33" s="1576"/>
      <c r="Y33" s="3463"/>
      <c r="Z33" s="1577" t="str">
        <f t="shared" si="15"/>
        <v>项目建筑规模</v>
      </c>
      <c r="AA33" s="1573" t="e">
        <f t="shared" si="3"/>
        <v>#N/A</v>
      </c>
      <c r="AB33" s="1573" t="e">
        <f t="shared" si="4"/>
        <v>#N/A</v>
      </c>
      <c r="AC33" s="1573" t="e">
        <f t="shared" si="5"/>
        <v>#N/A</v>
      </c>
    </row>
    <row r="34" spans="1:29" ht="15">
      <c r="A34" s="593"/>
      <c r="B34" s="526" t="s">
        <v>723</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63"/>
      <c r="Q34" s="1569" t="str">
        <f t="shared" si="11"/>
        <v>建筑结构</v>
      </c>
      <c r="R34" s="1570" t="s">
        <v>8</v>
      </c>
      <c r="S34" s="1571">
        <f t="shared" si="12"/>
        <v>100</v>
      </c>
      <c r="T34" s="1570" t="s">
        <v>8</v>
      </c>
      <c r="U34" s="1571">
        <f t="shared" si="13"/>
        <v>100</v>
      </c>
      <c r="V34" s="1570" t="s">
        <v>8</v>
      </c>
      <c r="W34" s="1571">
        <f t="shared" si="14"/>
        <v>100</v>
      </c>
      <c r="X34" s="1564"/>
      <c r="Y34" s="3463"/>
      <c r="Z34" s="1572" t="str">
        <f t="shared" si="15"/>
        <v>建筑结构</v>
      </c>
      <c r="AA34" s="1573">
        <f t="shared" si="3"/>
        <v>1</v>
      </c>
      <c r="AB34" s="1573">
        <f t="shared" si="4"/>
        <v>1</v>
      </c>
      <c r="AC34" s="1573">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63"/>
      <c r="Q35" s="1569" t="str">
        <f t="shared" si="11"/>
        <v>公共部分装修</v>
      </c>
      <c r="R35" s="1570" t="s">
        <v>8</v>
      </c>
      <c r="S35" s="1571">
        <f t="shared" si="12"/>
        <v>100</v>
      </c>
      <c r="T35" s="1570" t="s">
        <v>8</v>
      </c>
      <c r="U35" s="1571">
        <f t="shared" si="13"/>
        <v>100</v>
      </c>
      <c r="V35" s="1570" t="s">
        <v>8</v>
      </c>
      <c r="W35" s="1571">
        <f t="shared" si="14"/>
        <v>100</v>
      </c>
      <c r="X35" s="1564"/>
      <c r="Y35" s="3463"/>
      <c r="Z35" s="1572" t="str">
        <f t="shared" si="15"/>
        <v>公共部分装修</v>
      </c>
      <c r="AA35" s="1573">
        <f t="shared" si="3"/>
        <v>1</v>
      </c>
      <c r="AB35" s="1573">
        <f t="shared" si="4"/>
        <v>1</v>
      </c>
      <c r="AC35" s="1573">
        <f t="shared" si="5"/>
        <v>1</v>
      </c>
    </row>
    <row r="36" spans="1:29" ht="15">
      <c r="A36" s="593"/>
      <c r="B36" s="526" t="s">
        <v>760</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63"/>
      <c r="Q36" s="1569" t="str">
        <f t="shared" si="11"/>
        <v>成新度</v>
      </c>
      <c r="R36" s="1570" t="s">
        <v>8</v>
      </c>
      <c r="S36" s="1571" t="e">
        <f t="shared" si="12"/>
        <v>#N/A</v>
      </c>
      <c r="T36" s="1570" t="s">
        <v>8</v>
      </c>
      <c r="U36" s="1571" t="e">
        <f t="shared" si="13"/>
        <v>#N/A</v>
      </c>
      <c r="V36" s="1570" t="s">
        <v>8</v>
      </c>
      <c r="W36" s="1571" t="e">
        <f t="shared" si="14"/>
        <v>#N/A</v>
      </c>
      <c r="X36" s="1564"/>
      <c r="Y36" s="3463"/>
      <c r="Z36" s="1572" t="str">
        <f t="shared" si="15"/>
        <v>成新度</v>
      </c>
      <c r="AA36" s="1573" t="e">
        <f t="shared" si="3"/>
        <v>#N/A</v>
      </c>
      <c r="AB36" s="1573" t="e">
        <f t="shared" si="4"/>
        <v>#N/A</v>
      </c>
      <c r="AC36" s="1573" t="e">
        <f t="shared" si="5"/>
        <v>#N/A</v>
      </c>
    </row>
    <row r="37" spans="1:29" s="1219" customFormat="1" ht="15">
      <c r="A37" s="599"/>
      <c r="B37" s="1893"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63"/>
      <c r="Q37" s="1150" t="str">
        <f t="shared" si="11"/>
        <v>市政基础设施</v>
      </c>
      <c r="R37" s="1565" t="s">
        <v>8</v>
      </c>
      <c r="S37" s="1566">
        <f t="shared" si="12"/>
        <v>100</v>
      </c>
      <c r="T37" s="1565" t="s">
        <v>8</v>
      </c>
      <c r="U37" s="1566">
        <f t="shared" si="13"/>
        <v>100</v>
      </c>
      <c r="V37" s="1565" t="s">
        <v>8</v>
      </c>
      <c r="W37" s="1566">
        <f t="shared" si="14"/>
        <v>100</v>
      </c>
      <c r="X37" s="1567"/>
      <c r="Y37" s="3463"/>
      <c r="Z37" s="1149" t="str">
        <f t="shared" si="15"/>
        <v>市政基础设施</v>
      </c>
      <c r="AA37" s="1568">
        <f t="shared" si="3"/>
        <v>1</v>
      </c>
      <c r="AB37" s="1568">
        <f t="shared" si="4"/>
        <v>1</v>
      </c>
      <c r="AC37" s="1568">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63" t="s">
        <v>762</v>
      </c>
      <c r="Q38" s="1569" t="str">
        <f t="shared" si="11"/>
        <v>业态</v>
      </c>
      <c r="R38" s="1570" t="s">
        <v>8</v>
      </c>
      <c r="S38" s="1571">
        <f t="shared" si="12"/>
        <v>100</v>
      </c>
      <c r="T38" s="1570" t="s">
        <v>8</v>
      </c>
      <c r="U38" s="1571">
        <f t="shared" si="13"/>
        <v>100</v>
      </c>
      <c r="V38" s="1570" t="s">
        <v>8</v>
      </c>
      <c r="W38" s="1571">
        <f t="shared" si="14"/>
        <v>100</v>
      </c>
      <c r="X38" s="1564"/>
      <c r="Y38" s="3463" t="s">
        <v>762</v>
      </c>
      <c r="Z38" s="1572" t="str">
        <f t="shared" si="15"/>
        <v>业态</v>
      </c>
      <c r="AA38" s="1573">
        <f t="shared" si="3"/>
        <v>1</v>
      </c>
      <c r="AB38" s="1573">
        <f t="shared" si="4"/>
        <v>1</v>
      </c>
      <c r="AC38" s="1573">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63"/>
      <c r="Q39" s="1569" t="str">
        <f t="shared" si="11"/>
        <v>层高</v>
      </c>
      <c r="R39" s="1570" t="s">
        <v>8</v>
      </c>
      <c r="S39" s="1571">
        <f t="shared" si="12"/>
        <v>100</v>
      </c>
      <c r="T39" s="1570" t="s">
        <v>8</v>
      </c>
      <c r="U39" s="1571">
        <f t="shared" si="13"/>
        <v>100</v>
      </c>
      <c r="V39" s="1570" t="s">
        <v>8</v>
      </c>
      <c r="W39" s="1571">
        <f t="shared" si="14"/>
        <v>100</v>
      </c>
      <c r="X39" s="1564"/>
      <c r="Y39" s="3463"/>
      <c r="Z39" s="1572" t="str">
        <f t="shared" si="15"/>
        <v>层高</v>
      </c>
      <c r="AA39" s="1573">
        <f t="shared" si="3"/>
        <v>1</v>
      </c>
      <c r="AB39" s="1573">
        <f t="shared" si="4"/>
        <v>1</v>
      </c>
      <c r="AC39" s="1573">
        <f t="shared" si="5"/>
        <v>1</v>
      </c>
    </row>
    <row r="40" spans="1:29" ht="15">
      <c r="A40" s="593"/>
      <c r="B40" s="526" t="s">
        <v>764</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63"/>
      <c r="Q40" s="1569" t="str">
        <f t="shared" si="11"/>
        <v>单套建筑面积</v>
      </c>
      <c r="R40" s="1570" t="s">
        <v>8</v>
      </c>
      <c r="S40" s="1571">
        <f t="shared" si="12"/>
        <v>100</v>
      </c>
      <c r="T40" s="1570" t="s">
        <v>8</v>
      </c>
      <c r="U40" s="1571">
        <f t="shared" si="13"/>
        <v>100</v>
      </c>
      <c r="V40" s="1570" t="s">
        <v>8</v>
      </c>
      <c r="W40" s="1571">
        <f t="shared" si="14"/>
        <v>100</v>
      </c>
      <c r="X40" s="1564"/>
      <c r="Y40" s="3463"/>
      <c r="Z40" s="1572" t="str">
        <f t="shared" si="15"/>
        <v>单套建筑面积</v>
      </c>
      <c r="AA40" s="1573">
        <f t="shared" si="3"/>
        <v>1</v>
      </c>
      <c r="AB40" s="1573">
        <f t="shared" si="4"/>
        <v>1</v>
      </c>
      <c r="AC40" s="1573">
        <f t="shared" si="5"/>
        <v>1</v>
      </c>
    </row>
    <row r="41" spans="1:29" s="1338" customFormat="1" ht="15">
      <c r="A41" s="602"/>
      <c r="B41" s="903"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63"/>
      <c r="Q41" s="1602" t="str">
        <f t="shared" si="11"/>
        <v>进深比</v>
      </c>
      <c r="R41" s="1574" t="s">
        <v>8</v>
      </c>
      <c r="S41" s="1575">
        <f t="shared" si="12"/>
        <v>100</v>
      </c>
      <c r="T41" s="1574" t="s">
        <v>8</v>
      </c>
      <c r="U41" s="1575">
        <f t="shared" si="13"/>
        <v>100</v>
      </c>
      <c r="V41" s="1574" t="s">
        <v>8</v>
      </c>
      <c r="W41" s="1575">
        <f t="shared" si="14"/>
        <v>100</v>
      </c>
      <c r="X41" s="1576"/>
      <c r="Y41" s="3463"/>
      <c r="Z41" s="1577" t="str">
        <f t="shared" si="15"/>
        <v>进深比</v>
      </c>
      <c r="AA41" s="1573">
        <f t="shared" si="3"/>
        <v>1</v>
      </c>
      <c r="AB41" s="1573">
        <f t="shared" si="4"/>
        <v>1</v>
      </c>
      <c r="AC41" s="1573">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63"/>
      <c r="Q42" s="1569" t="str">
        <f t="shared" si="11"/>
        <v>内部装修</v>
      </c>
      <c r="R42" s="1570" t="s">
        <v>8</v>
      </c>
      <c r="S42" s="1571">
        <f t="shared" si="12"/>
        <v>100</v>
      </c>
      <c r="T42" s="1570" t="s">
        <v>8</v>
      </c>
      <c r="U42" s="1571">
        <f t="shared" si="13"/>
        <v>100</v>
      </c>
      <c r="V42" s="1570" t="s">
        <v>8</v>
      </c>
      <c r="W42" s="1571">
        <f t="shared" si="14"/>
        <v>100</v>
      </c>
      <c r="X42" s="1564"/>
      <c r="Y42" s="3463"/>
      <c r="Z42" s="1572" t="str">
        <f t="shared" si="15"/>
        <v>内部装修</v>
      </c>
      <c r="AA42" s="1573">
        <f t="shared" si="3"/>
        <v>1</v>
      </c>
      <c r="AB42" s="1573">
        <f t="shared" si="4"/>
        <v>1</v>
      </c>
      <c r="AC42" s="1573">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63"/>
      <c r="Q43" s="1569" t="str">
        <f t="shared" si="11"/>
        <v>内部装修维护情况</v>
      </c>
      <c r="R43" s="1570" t="s">
        <v>8</v>
      </c>
      <c r="S43" s="1571">
        <f t="shared" si="12"/>
        <v>100</v>
      </c>
      <c r="T43" s="1570" t="s">
        <v>8</v>
      </c>
      <c r="U43" s="1571">
        <f t="shared" si="13"/>
        <v>100</v>
      </c>
      <c r="V43" s="1570" t="s">
        <v>8</v>
      </c>
      <c r="W43" s="1571">
        <f t="shared" si="14"/>
        <v>100</v>
      </c>
      <c r="X43" s="1564"/>
      <c r="Y43" s="3463"/>
      <c r="Z43" s="1572" t="str">
        <f t="shared" si="15"/>
        <v>内部装修维护情况</v>
      </c>
      <c r="AA43" s="1573">
        <f t="shared" si="3"/>
        <v>1</v>
      </c>
      <c r="AB43" s="1573">
        <f t="shared" si="4"/>
        <v>1</v>
      </c>
      <c r="AC43" s="1573">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63"/>
      <c r="Q44" s="1150">
        <f t="shared" si="11"/>
        <v>111</v>
      </c>
      <c r="R44" s="1565" t="s">
        <v>8</v>
      </c>
      <c r="S44" s="1566">
        <f t="shared" si="12"/>
        <v>100</v>
      </c>
      <c r="T44" s="1565" t="s">
        <v>8</v>
      </c>
      <c r="U44" s="1566">
        <f t="shared" si="13"/>
        <v>100</v>
      </c>
      <c r="V44" s="1565" t="s">
        <v>8</v>
      </c>
      <c r="W44" s="1566">
        <f t="shared" si="14"/>
        <v>100</v>
      </c>
      <c r="X44" s="1567"/>
      <c r="Y44" s="3463"/>
      <c r="Z44" s="1149">
        <f t="shared" si="15"/>
        <v>111</v>
      </c>
      <c r="AA44" s="1568">
        <f t="shared" si="3"/>
        <v>1</v>
      </c>
      <c r="AB44" s="1568">
        <f t="shared" si="4"/>
        <v>1</v>
      </c>
      <c r="AC44" s="1568">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63"/>
      <c r="Q45" s="1569">
        <f t="shared" si="11"/>
        <v>111</v>
      </c>
      <c r="R45" s="1570" t="s">
        <v>8</v>
      </c>
      <c r="S45" s="1571">
        <f t="shared" si="12"/>
        <v>100</v>
      </c>
      <c r="T45" s="1570" t="s">
        <v>8</v>
      </c>
      <c r="U45" s="1571">
        <f t="shared" si="13"/>
        <v>100</v>
      </c>
      <c r="V45" s="1570" t="s">
        <v>8</v>
      </c>
      <c r="W45" s="1571">
        <f t="shared" si="14"/>
        <v>100</v>
      </c>
      <c r="X45" s="1564"/>
      <c r="Y45" s="3463"/>
      <c r="Z45" s="1572">
        <f t="shared" si="15"/>
        <v>111</v>
      </c>
      <c r="AA45" s="1573">
        <f t="shared" si="3"/>
        <v>1</v>
      </c>
      <c r="AB45" s="1573">
        <f t="shared" si="4"/>
        <v>1</v>
      </c>
      <c r="AC45" s="1573">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540"/>
      <c r="Q46" s="1569">
        <f t="shared" si="11"/>
        <v>111</v>
      </c>
      <c r="R46" s="1570" t="s">
        <v>8</v>
      </c>
      <c r="S46" s="1571">
        <f t="shared" si="12"/>
        <v>100</v>
      </c>
      <c r="T46" s="1570" t="s">
        <v>8</v>
      </c>
      <c r="U46" s="1571">
        <f t="shared" si="13"/>
        <v>100</v>
      </c>
      <c r="V46" s="1570" t="s">
        <v>8</v>
      </c>
      <c r="W46" s="1571">
        <f t="shared" si="14"/>
        <v>100</v>
      </c>
      <c r="X46" s="1564"/>
      <c r="Y46" s="3540"/>
      <c r="Z46" s="1572">
        <f t="shared" si="15"/>
        <v>111</v>
      </c>
      <c r="AA46" s="1573">
        <f t="shared" si="3"/>
        <v>1</v>
      </c>
      <c r="AB46" s="1573">
        <f t="shared" si="4"/>
        <v>1</v>
      </c>
      <c r="AC46" s="1573">
        <f t="shared" si="5"/>
        <v>1</v>
      </c>
    </row>
    <row r="47" spans="1:29" ht="15">
      <c r="A47" s="606" t="s">
        <v>732</v>
      </c>
      <c r="B47" s="886"/>
      <c r="C47" s="2649" t="s">
        <v>1</v>
      </c>
      <c r="D47" s="2650"/>
      <c r="E47" s="2651"/>
      <c r="F47" s="2652"/>
      <c r="G47" s="2653"/>
      <c r="H47" s="2654"/>
      <c r="I47" s="2651"/>
      <c r="J47" s="2654"/>
      <c r="K47" s="1608"/>
      <c r="L47" s="2142"/>
      <c r="M47" s="2143"/>
      <c r="N47" s="2132"/>
      <c r="O47" s="2143"/>
      <c r="P47" s="3426" t="str">
        <f>A47</f>
        <v>成交单价（元/平方米）</v>
      </c>
      <c r="Q47" s="3426"/>
      <c r="R47" s="3539">
        <f>E47</f>
        <v>0</v>
      </c>
      <c r="S47" s="3539"/>
      <c r="T47" s="3539">
        <f>G47</f>
        <v>0</v>
      </c>
      <c r="U47" s="3539"/>
      <c r="V47" s="3539">
        <f>I47</f>
        <v>0</v>
      </c>
      <c r="W47" s="3539"/>
      <c r="X47" s="1556"/>
      <c r="Y47" s="1578"/>
      <c r="Z47" s="1556"/>
      <c r="AA47" s="1556"/>
      <c r="AB47" s="1556"/>
      <c r="AC47" s="1556"/>
    </row>
    <row r="48" spans="1:29" ht="15.75" thickBot="1">
      <c r="A48" s="614" t="s">
        <v>2760</v>
      </c>
      <c r="B48" s="887"/>
      <c r="C48" s="2655" t="e">
        <f>R49</f>
        <v>#DIV/0!</v>
      </c>
      <c r="D48" s="2656"/>
      <c r="E48" s="2657" t="e">
        <f>R48</f>
        <v>#DIV/0!</v>
      </c>
      <c r="F48" s="2657"/>
      <c r="G48" s="2655" t="e">
        <f>T48</f>
        <v>#DIV/0!</v>
      </c>
      <c r="H48" s="2656"/>
      <c r="I48" s="2657" t="e">
        <f>V48</f>
        <v>#DIV/0!</v>
      </c>
      <c r="J48" s="2656"/>
      <c r="K48" s="1609"/>
      <c r="L48" s="2142"/>
      <c r="M48" s="2143"/>
      <c r="N48" s="2132"/>
      <c r="O48" s="2143"/>
      <c r="P48" s="3426" t="str">
        <f>A48</f>
        <v>比较价格（元/平方米）</v>
      </c>
      <c r="Q48" s="3426"/>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1556"/>
      <c r="Y48" s="1556"/>
      <c r="Z48" s="1556"/>
      <c r="AA48" s="1556"/>
      <c r="AB48" s="1556"/>
      <c r="AC48" s="1556"/>
    </row>
    <row r="49" spans="1:29" ht="15.75" thickBot="1">
      <c r="A49" s="620" t="s">
        <v>2934</v>
      </c>
      <c r="B49" s="621"/>
      <c r="C49" s="2658" t="e">
        <f>R49</f>
        <v>#DIV/0!</v>
      </c>
      <c r="D49" s="2658"/>
      <c r="E49" s="2658"/>
      <c r="F49" s="2658"/>
      <c r="G49" s="2658"/>
      <c r="H49" s="2658"/>
      <c r="I49" s="2658"/>
      <c r="J49" s="2658"/>
      <c r="K49" s="1610"/>
      <c r="L49" s="2142"/>
      <c r="M49" s="2143"/>
      <c r="N49" s="2132"/>
      <c r="O49" s="2143"/>
      <c r="P49" s="3423" t="str">
        <f>A49</f>
        <v>估价对象XX用房的比较价格（楼面单价，元/平方米）</v>
      </c>
      <c r="Q49" s="3424"/>
      <c r="R49" s="3538" t="e">
        <f>IF(F1="售价",ROUND(AVERAGE(R48:V48),0),ROUND(AVERAGE(R48:V48),1))</f>
        <v>#DIV/0!</v>
      </c>
      <c r="S49" s="3538"/>
      <c r="T49" s="3538"/>
      <c r="U49" s="3538"/>
      <c r="V49" s="3538"/>
      <c r="W49" s="3538"/>
      <c r="X49" s="1556"/>
      <c r="Y49" s="1556"/>
      <c r="Z49" s="1556"/>
      <c r="AA49" s="1556"/>
      <c r="AB49" s="1556"/>
      <c r="AC49" s="1556"/>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1" t="s">
        <v>570</v>
      </c>
      <c r="B57" s="1556"/>
      <c r="C57" s="1580"/>
      <c r="D57" s="1580"/>
      <c r="E57" s="1580"/>
      <c r="F57" s="1582"/>
      <c r="G57" s="1582"/>
      <c r="H57" s="1580"/>
      <c r="I57" s="1580"/>
      <c r="J57" s="1580"/>
      <c r="K57" s="1583"/>
      <c r="L57" s="1579"/>
      <c r="M57" s="1580"/>
      <c r="N57" s="1580"/>
      <c r="O57" s="1580"/>
      <c r="P57" s="2155"/>
      <c r="Q57" s="2156"/>
      <c r="R57" s="2143"/>
      <c r="S57" s="2143"/>
      <c r="T57" s="2143"/>
      <c r="U57" s="2143"/>
      <c r="V57" s="2143"/>
      <c r="W57" s="2143"/>
      <c r="X57" s="2143"/>
      <c r="Y57" s="2143"/>
      <c r="Z57" s="2143"/>
      <c r="AA57" s="2143"/>
      <c r="AB57" s="2143"/>
      <c r="AC57" s="2143"/>
    </row>
    <row r="58" spans="1:29" s="1346" customFormat="1" ht="15">
      <c r="A58" s="644" t="s">
        <v>525</v>
      </c>
      <c r="B58" s="645"/>
      <c r="C58" s="2824" t="str">
        <f>YEAR(C7)&amp;"-"&amp;MONTH(C7)</f>
        <v>2018-5</v>
      </c>
      <c r="D58" s="2826">
        <f>EDATE(C58,-1)</f>
        <v>43191</v>
      </c>
      <c r="E58" s="2826">
        <f t="shared" ref="E58:O58" si="16">EDATE(D58,-1)</f>
        <v>43160</v>
      </c>
      <c r="F58" s="2826">
        <f t="shared" si="16"/>
        <v>43132</v>
      </c>
      <c r="G58" s="2826">
        <f t="shared" si="16"/>
        <v>43101</v>
      </c>
      <c r="H58" s="2826">
        <f t="shared" si="16"/>
        <v>43070</v>
      </c>
      <c r="I58" s="2826">
        <f t="shared" si="16"/>
        <v>43040</v>
      </c>
      <c r="J58" s="2826">
        <f t="shared" si="16"/>
        <v>43009</v>
      </c>
      <c r="K58" s="2826">
        <f t="shared" si="16"/>
        <v>42979</v>
      </c>
      <c r="L58" s="2826">
        <f t="shared" si="16"/>
        <v>42948</v>
      </c>
      <c r="M58" s="2826">
        <f t="shared" si="16"/>
        <v>42917</v>
      </c>
      <c r="N58" s="2826">
        <f t="shared" si="16"/>
        <v>42887</v>
      </c>
      <c r="O58" s="2826">
        <f t="shared" si="16"/>
        <v>42856</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571</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527</v>
      </c>
      <c r="B61" s="647"/>
      <c r="C61" s="659" t="s">
        <v>572</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573</v>
      </c>
      <c r="B63" s="664" t="s">
        <v>530</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535</v>
      </c>
      <c r="B76" s="664" t="s">
        <v>574</v>
      </c>
      <c r="C76" s="702" t="s">
        <v>575</v>
      </c>
      <c r="D76" s="702" t="s">
        <v>576</v>
      </c>
      <c r="E76" s="702" t="s">
        <v>577</v>
      </c>
      <c r="F76" s="702" t="s">
        <v>578</v>
      </c>
      <c r="G76" s="702" t="s">
        <v>579</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582</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2557</v>
      </c>
      <c r="C80" s="707" t="s">
        <v>575</v>
      </c>
      <c r="D80" s="707" t="s">
        <v>576</v>
      </c>
      <c r="E80" s="707" t="s">
        <v>577</v>
      </c>
      <c r="F80" s="707" t="s">
        <v>578</v>
      </c>
      <c r="G80" s="707" t="s">
        <v>579</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619" t="s">
        <v>2558</v>
      </c>
      <c r="C82" s="2620" t="s">
        <v>2559</v>
      </c>
      <c r="D82" s="2620" t="s">
        <v>2560</v>
      </c>
      <c r="E82" s="2620" t="s">
        <v>2561</v>
      </c>
      <c r="F82" s="2620" t="s">
        <v>2562</v>
      </c>
      <c r="G82" s="2620" t="s">
        <v>2563</v>
      </c>
      <c r="H82" s="673"/>
      <c r="I82" s="673"/>
      <c r="J82" s="673"/>
      <c r="K82" s="673"/>
      <c r="L82" s="673"/>
      <c r="M82" s="2623"/>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740</v>
      </c>
      <c r="C84" s="707" t="s">
        <v>575</v>
      </c>
      <c r="D84" s="707" t="s">
        <v>576</v>
      </c>
      <c r="E84" s="707" t="s">
        <v>577</v>
      </c>
      <c r="F84" s="707" t="s">
        <v>578</v>
      </c>
      <c r="G84" s="707" t="s">
        <v>579</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767</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547</v>
      </c>
      <c r="B100" s="664" t="s">
        <v>768</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745</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747</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2556</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769</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770</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771</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772</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751</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1901</v>
      </c>
    </row>
    <row r="2" spans="1:4">
      <c r="A2" s="1777"/>
    </row>
    <row r="3" spans="1:4" ht="18.75">
      <c r="A3" s="1795" t="str">
        <f>项目基本情况!B5&amp;"："</f>
        <v>北京凯华房地产开发有限公司：</v>
      </c>
    </row>
    <row r="4" spans="1:4" ht="37.5">
      <c r="A4" s="1789" t="str">
        <f>"受贵公司委托，我公司对"&amp;项目基本情况!K2&amp;项目基本情况!B9&amp;"进行了预评估。"</f>
        <v>受贵公司委托，我公司对北京市房山区周口店镇02街区02-0001地块出让国有建设用地使用权抵押价格进行了预评估。</v>
      </c>
    </row>
    <row r="5" spans="1:4" ht="18.75">
      <c r="A5" s="1792" t="s">
        <v>1902</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凯华房地产开发有限公司使用的、位于北京市房山区周口店镇02街区02-0001地块出让国有建设用地使用权。根据《国有土地使用证》[]，估价对象（分摊）出让国有建设用地使用权面积为62101.4平方米。根据《建设工程规划许可证》[]、《出让合同》[]，估价对象规划建筑面积为181951.64平方米。</v>
      </c>
    </row>
    <row r="7" spans="1:4" ht="93.75">
      <c r="A7" s="2895" t="s">
        <v>2748</v>
      </c>
    </row>
    <row r="8" spans="1:4" ht="18.75">
      <c r="A8" s="1792" t="s">
        <v>1903</v>
      </c>
    </row>
    <row r="9" spans="1:4" ht="75">
      <c r="A9" s="1794" t="str">
        <f>IF(项目基本情况!B8="抵押",IF(项目基本情况!B5=项目基本情况!B6,定义!C51,定义!B51),定义!D51)</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row>
    <row r="10" spans="1:4" ht="18.75">
      <c r="A10" s="1795" t="s">
        <v>2025</v>
      </c>
    </row>
    <row r="11" spans="1:4" ht="18.75">
      <c r="A11" s="1778" t="str">
        <f>TEXT(项目基本情况!D3,"yyyy年m月d日;;")&amp;IF(项目基本情况!B3=项目基本情况!D3,"（评估专业人员勘察现场之日）","")</f>
        <v>2018年5月14日（评估专业人员勘察现场之日）</v>
      </c>
    </row>
    <row r="12" spans="1:4" ht="18.75">
      <c r="A12" s="1795" t="s">
        <v>2024</v>
      </c>
    </row>
    <row r="13" spans="1:4" ht="18.75">
      <c r="A13" s="1789" t="s">
        <v>2070</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2071</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2072</v>
      </c>
    </row>
    <row r="20" spans="1:1" ht="56.25">
      <c r="A20" s="258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根据《国有土地使用证》[]，估价对象（分摊）出让国有建设用地使用权面积为62101.4平方米。根据《建设工程规划许可证》[]、《出让合同》[]，估价对象规划建筑面积为181951.64平方米。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2073</v>
      </c>
    </row>
    <row r="23" spans="1:1" ht="18.75">
      <c r="A23" s="2897" t="s">
        <v>2749</v>
      </c>
    </row>
    <row r="24" spans="1:1" ht="18.75">
      <c r="A24" s="1789" t="s">
        <v>2074</v>
      </c>
    </row>
    <row r="25" spans="1:1" ht="93.75">
      <c r="A25" s="1789" t="str">
        <f>定义!C53</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2026</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773</v>
      </c>
      <c r="C1" s="503" t="s">
        <v>716</v>
      </c>
      <c r="D1" s="848"/>
      <c r="E1" s="505"/>
      <c r="F1" s="2829"/>
      <c r="G1" s="1598" t="s">
        <v>717</v>
      </c>
      <c r="H1" s="505"/>
      <c r="I1" s="505"/>
      <c r="J1" s="505"/>
      <c r="K1" s="506"/>
      <c r="L1" s="1559"/>
      <c r="M1" s="1560"/>
      <c r="N1" s="1560"/>
      <c r="O1" s="1560"/>
      <c r="P1" s="2205"/>
      <c r="Q1" s="1561"/>
      <c r="R1" s="1561"/>
      <c r="S1" s="1561"/>
      <c r="T1" s="1561"/>
      <c r="U1" s="1561"/>
      <c r="V1" s="1561"/>
      <c r="W1" s="1561"/>
      <c r="X1" s="1561"/>
      <c r="Y1" s="1561"/>
      <c r="Z1" s="1561"/>
      <c r="AA1" s="1561"/>
      <c r="AB1" s="1561"/>
      <c r="AC1" s="1562"/>
    </row>
    <row r="2" spans="1:29" s="1335" customFormat="1" ht="28.5" customHeight="1">
      <c r="A2" s="422" t="s">
        <v>463</v>
      </c>
      <c r="B2" s="849" t="e">
        <f>ROUND(B3*D3/10000,0)</f>
        <v>#DIV/0!</v>
      </c>
      <c r="C2" s="2125"/>
      <c r="D2" s="2125"/>
      <c r="E2" s="2059"/>
      <c r="F2" s="2127"/>
      <c r="G2" s="2126"/>
      <c r="H2" s="2126"/>
      <c r="I2" s="2126"/>
      <c r="J2" s="2126"/>
      <c r="K2" s="2126"/>
      <c r="L2" s="2129"/>
      <c r="M2" s="2130"/>
      <c r="N2" s="2130"/>
      <c r="O2" s="2130"/>
      <c r="P2" s="2205"/>
      <c r="Q2" s="1561"/>
      <c r="R2" s="1561"/>
      <c r="S2" s="1561"/>
      <c r="T2" s="1561"/>
      <c r="U2" s="1561"/>
      <c r="V2" s="1561"/>
      <c r="W2" s="1561"/>
      <c r="X2" s="1561"/>
      <c r="Y2" s="1561"/>
      <c r="Z2" s="1561"/>
      <c r="AA2" s="1561"/>
      <c r="AB2" s="1561"/>
      <c r="AC2" s="1562"/>
    </row>
    <row r="3" spans="1:29" s="1335" customFormat="1" ht="28.5" customHeight="1" thickBot="1">
      <c r="A3" s="508" t="s">
        <v>515</v>
      </c>
      <c r="B3" s="509" t="e">
        <f>C50</f>
        <v>#DIV/0!</v>
      </c>
      <c r="C3" s="851" t="s">
        <v>718</v>
      </c>
      <c r="D3" s="850">
        <f>SUMIF('数据-汇总表'!$C19:$C33,D1,'数据-汇总表'!$E19:$E33)</f>
        <v>0</v>
      </c>
      <c r="E3" s="2059"/>
      <c r="F3" s="2127"/>
      <c r="G3" s="2126"/>
      <c r="H3" s="2126"/>
      <c r="I3" s="2126"/>
      <c r="J3" s="2126"/>
      <c r="K3" s="2128"/>
      <c r="L3" s="2129"/>
      <c r="M3" s="2130"/>
      <c r="N3" s="2130"/>
      <c r="O3" s="2130"/>
      <c r="P3" s="2205"/>
      <c r="Q3" s="1561"/>
      <c r="R3" s="1561"/>
      <c r="S3" s="1561"/>
      <c r="T3" s="1561"/>
      <c r="U3" s="1561"/>
      <c r="V3" s="1561"/>
      <c r="W3" s="1561"/>
      <c r="X3" s="1561"/>
      <c r="Y3" s="1561"/>
      <c r="Z3" s="1561"/>
      <c r="AA3" s="1561"/>
      <c r="AB3" s="1561"/>
      <c r="AC3" s="1562"/>
    </row>
    <row r="4" spans="1:29" ht="15">
      <c r="A4" s="511" t="s">
        <v>517</v>
      </c>
      <c r="B4" s="512"/>
      <c r="C4" s="3432" t="s">
        <v>518</v>
      </c>
      <c r="D4" s="3433"/>
      <c r="E4" s="3466" t="s">
        <v>519</v>
      </c>
      <c r="F4" s="3467"/>
      <c r="G4" s="3432" t="s">
        <v>520</v>
      </c>
      <c r="H4" s="3433"/>
      <c r="I4" s="3432" t="s">
        <v>521</v>
      </c>
      <c r="J4" s="3433"/>
      <c r="K4" s="513" t="s">
        <v>522</v>
      </c>
      <c r="L4" s="2131"/>
      <c r="M4" s="2132"/>
      <c r="N4" s="2132"/>
      <c r="O4" s="2132"/>
      <c r="P4" s="3542" t="s">
        <v>523</v>
      </c>
      <c r="Q4" s="3435"/>
      <c r="R4" s="3440" t="s">
        <v>519</v>
      </c>
      <c r="S4" s="3441"/>
      <c r="T4" s="3440" t="s">
        <v>520</v>
      </c>
      <c r="U4" s="3441"/>
      <c r="V4" s="3427" t="s">
        <v>521</v>
      </c>
      <c r="W4" s="3427"/>
      <c r="X4" s="1564"/>
      <c r="Y4" s="3440" t="s">
        <v>523</v>
      </c>
      <c r="Z4" s="3441"/>
      <c r="AA4" s="3429" t="s">
        <v>519</v>
      </c>
      <c r="AB4" s="3429" t="s">
        <v>520</v>
      </c>
      <c r="AC4" s="3429" t="s">
        <v>521</v>
      </c>
    </row>
    <row r="5" spans="1:29" ht="15">
      <c r="A5" s="514"/>
      <c r="B5" s="515"/>
      <c r="C5" s="3448" t="s">
        <v>2928</v>
      </c>
      <c r="D5" s="3449"/>
      <c r="E5" s="3468" t="s">
        <v>2929</v>
      </c>
      <c r="F5" s="3469"/>
      <c r="G5" s="3448" t="s">
        <v>2930</v>
      </c>
      <c r="H5" s="3449"/>
      <c r="I5" s="3448" t="s">
        <v>2931</v>
      </c>
      <c r="J5" s="3449"/>
      <c r="K5" s="513"/>
      <c r="L5" s="2131"/>
      <c r="M5" s="2132"/>
      <c r="N5" s="2132"/>
      <c r="O5" s="2132"/>
      <c r="P5" s="3543"/>
      <c r="Q5" s="3437"/>
      <c r="R5" s="3442"/>
      <c r="S5" s="3443"/>
      <c r="T5" s="3442"/>
      <c r="U5" s="3443"/>
      <c r="V5" s="3427"/>
      <c r="W5" s="3427"/>
      <c r="X5" s="1564"/>
      <c r="Y5" s="3442"/>
      <c r="Z5" s="3443"/>
      <c r="AA5" s="3430"/>
      <c r="AB5" s="3430"/>
      <c r="AC5" s="3430"/>
    </row>
    <row r="6" spans="1:29" ht="15.75" thickBot="1">
      <c r="A6" s="516"/>
      <c r="B6" s="517"/>
      <c r="C6" s="3446" t="s">
        <v>2932</v>
      </c>
      <c r="D6" s="3447"/>
      <c r="E6" s="3464" t="s">
        <v>2932</v>
      </c>
      <c r="F6" s="3465"/>
      <c r="G6" s="3446" t="s">
        <v>2932</v>
      </c>
      <c r="H6" s="3447"/>
      <c r="I6" s="3446" t="s">
        <v>2932</v>
      </c>
      <c r="J6" s="3447"/>
      <c r="K6" s="513" t="s">
        <v>524</v>
      </c>
      <c r="L6" s="2131"/>
      <c r="M6" s="2132"/>
      <c r="N6" s="2132"/>
      <c r="O6" s="2132"/>
      <c r="P6" s="3544"/>
      <c r="Q6" s="3439"/>
      <c r="R6" s="3442"/>
      <c r="S6" s="3443"/>
      <c r="T6" s="3444"/>
      <c r="U6" s="3445"/>
      <c r="V6" s="3427"/>
      <c r="W6" s="3427"/>
      <c r="X6" s="1564"/>
      <c r="Y6" s="3444"/>
      <c r="Z6" s="3445"/>
      <c r="AA6" s="3431"/>
      <c r="AB6" s="3431"/>
      <c r="AC6" s="3431"/>
    </row>
    <row r="7" spans="1:29" s="1219" customFormat="1" ht="15.75" thickBot="1">
      <c r="A7" s="2934"/>
      <c r="B7" s="2941" t="s">
        <v>525</v>
      </c>
      <c r="C7" s="518">
        <f>'数据-取费表'!B2</f>
        <v>43234</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59" t="s">
        <v>526</v>
      </c>
      <c r="Q7" s="3459"/>
      <c r="R7" s="1565" t="s">
        <v>8</v>
      </c>
      <c r="S7" s="1566">
        <f t="shared" ref="S7:S15" si="0">F7</f>
        <v>0</v>
      </c>
      <c r="T7" s="1565" t="s">
        <v>8</v>
      </c>
      <c r="U7" s="1566">
        <f t="shared" ref="U7:U15" si="1">H7</f>
        <v>0</v>
      </c>
      <c r="V7" s="1565" t="s">
        <v>8</v>
      </c>
      <c r="W7" s="1566">
        <f t="shared" ref="W7:W15" si="2">J7</f>
        <v>0</v>
      </c>
      <c r="X7" s="1567"/>
      <c r="Y7" s="3457" t="s">
        <v>526</v>
      </c>
      <c r="Z7" s="3458"/>
      <c r="AA7" s="1568" t="e">
        <f>D7/F7</f>
        <v>#DIV/0!</v>
      </c>
      <c r="AB7" s="1568" t="e">
        <f>D7/H7</f>
        <v>#DIV/0!</v>
      </c>
      <c r="AC7" s="1568" t="e">
        <f>D7/J7</f>
        <v>#DIV/0!</v>
      </c>
    </row>
    <row r="8" spans="1:29" s="1219" customFormat="1" ht="15.75" thickBot="1">
      <c r="A8" s="2935"/>
      <c r="B8" s="2942" t="s">
        <v>527</v>
      </c>
      <c r="C8" s="524" t="s">
        <v>572</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59" t="s">
        <v>529</v>
      </c>
      <c r="Q8" s="3458"/>
      <c r="R8" s="1565" t="s">
        <v>8</v>
      </c>
      <c r="S8" s="1566">
        <f t="shared" si="0"/>
        <v>0</v>
      </c>
      <c r="T8" s="1565" t="s">
        <v>8</v>
      </c>
      <c r="U8" s="1566">
        <f t="shared" si="1"/>
        <v>0</v>
      </c>
      <c r="V8" s="1565" t="s">
        <v>8</v>
      </c>
      <c r="W8" s="1566">
        <f t="shared" si="2"/>
        <v>0</v>
      </c>
      <c r="X8" s="1567"/>
      <c r="Y8" s="3457" t="s">
        <v>529</v>
      </c>
      <c r="Z8" s="3458"/>
      <c r="AA8" s="1568" t="e">
        <f t="shared" ref="AA8:AA47" si="3">D8/F8</f>
        <v>#DIV/0!</v>
      </c>
      <c r="AB8" s="1568" t="e">
        <f t="shared" ref="AB8:AB47" si="4">D8/H8</f>
        <v>#DIV/0!</v>
      </c>
      <c r="AC8" s="1568" t="e">
        <f t="shared" ref="AC8:AC47" si="5">D8/J8</f>
        <v>#DIV/0!</v>
      </c>
    </row>
    <row r="9" spans="1:29" s="1219" customFormat="1" ht="15">
      <c r="A9" s="2936"/>
      <c r="B9" s="2943" t="s">
        <v>2756</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426" t="s">
        <v>531</v>
      </c>
      <c r="Q9" s="1150" t="str">
        <f t="shared" ref="Q9:Q15" si="6">B9</f>
        <v>用途</v>
      </c>
      <c r="R9" s="1565" t="s">
        <v>8</v>
      </c>
      <c r="S9" s="1566">
        <f t="shared" si="0"/>
        <v>100</v>
      </c>
      <c r="T9" s="1565" t="s">
        <v>8</v>
      </c>
      <c r="U9" s="1566">
        <f t="shared" si="1"/>
        <v>100</v>
      </c>
      <c r="V9" s="1565" t="s">
        <v>8</v>
      </c>
      <c r="W9" s="1566">
        <f t="shared" si="2"/>
        <v>100</v>
      </c>
      <c r="X9" s="1567"/>
      <c r="Y9" s="3372"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426"/>
      <c r="Q10" s="1150" t="str">
        <f t="shared" si="6"/>
        <v>土地使用年限（年）</v>
      </c>
      <c r="R10" s="1565" t="s">
        <v>8</v>
      </c>
      <c r="S10" s="1566">
        <f t="shared" si="0"/>
        <v>100</v>
      </c>
      <c r="T10" s="1565" t="s">
        <v>8</v>
      </c>
      <c r="U10" s="1566">
        <f t="shared" si="1"/>
        <v>100</v>
      </c>
      <c r="V10" s="1565" t="s">
        <v>8</v>
      </c>
      <c r="W10" s="1566">
        <f t="shared" si="2"/>
        <v>100</v>
      </c>
      <c r="X10" s="1567"/>
      <c r="Y10" s="3372"/>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426"/>
      <c r="Q11" s="1150" t="str">
        <f t="shared" si="6"/>
        <v>容积率</v>
      </c>
      <c r="R11" s="1565" t="s">
        <v>8</v>
      </c>
      <c r="S11" s="1566" t="e">
        <f t="shared" si="0"/>
        <v>#N/A</v>
      </c>
      <c r="T11" s="1565" t="s">
        <v>8</v>
      </c>
      <c r="U11" s="1566" t="e">
        <f t="shared" si="1"/>
        <v>#N/A</v>
      </c>
      <c r="V11" s="1565" t="s">
        <v>8</v>
      </c>
      <c r="W11" s="1566" t="e">
        <f t="shared" si="2"/>
        <v>#N/A</v>
      </c>
      <c r="X11" s="1567"/>
      <c r="Y11" s="3372"/>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426"/>
      <c r="Q12" s="1150">
        <f t="shared" si="6"/>
        <v>111</v>
      </c>
      <c r="R12" s="1565" t="s">
        <v>8</v>
      </c>
      <c r="S12" s="1566">
        <f t="shared" si="0"/>
        <v>100</v>
      </c>
      <c r="T12" s="1565" t="s">
        <v>8</v>
      </c>
      <c r="U12" s="1566">
        <f t="shared" si="1"/>
        <v>100</v>
      </c>
      <c r="V12" s="1565" t="s">
        <v>8</v>
      </c>
      <c r="W12" s="1566">
        <f t="shared" si="2"/>
        <v>100</v>
      </c>
      <c r="X12" s="1567"/>
      <c r="Y12" s="3372"/>
      <c r="Z12" s="1149">
        <f t="shared" si="7"/>
        <v>111</v>
      </c>
      <c r="AA12" s="1568">
        <f>D12/F12</f>
        <v>1</v>
      </c>
      <c r="AB12" s="1568">
        <f>D12/H12</f>
        <v>1</v>
      </c>
      <c r="AC12" s="1568">
        <f>D12/J12</f>
        <v>1</v>
      </c>
    </row>
    <row r="13" spans="1:29" ht="15">
      <c r="A13" s="2939"/>
      <c r="B13" s="2945">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426"/>
      <c r="Q13" s="1150">
        <f t="shared" si="6"/>
        <v>111</v>
      </c>
      <c r="R13" s="1565" t="s">
        <v>8</v>
      </c>
      <c r="S13" s="1566">
        <f t="shared" si="0"/>
        <v>100</v>
      </c>
      <c r="T13" s="1565" t="s">
        <v>8</v>
      </c>
      <c r="U13" s="1566">
        <f t="shared" si="1"/>
        <v>100</v>
      </c>
      <c r="V13" s="1565" t="s">
        <v>8</v>
      </c>
      <c r="W13" s="1566">
        <f t="shared" si="2"/>
        <v>100</v>
      </c>
      <c r="X13" s="1567"/>
      <c r="Y13" s="3372"/>
      <c r="Z13" s="1149">
        <f t="shared" si="7"/>
        <v>111</v>
      </c>
      <c r="AA13" s="1568">
        <f t="shared" si="3"/>
        <v>1</v>
      </c>
      <c r="AB13" s="1568">
        <f t="shared" si="4"/>
        <v>1</v>
      </c>
      <c r="AC13" s="1568">
        <f t="shared" si="5"/>
        <v>1</v>
      </c>
    </row>
    <row r="14" spans="1:29" ht="15.75" thickBot="1">
      <c r="A14" s="2940"/>
      <c r="B14" s="2946">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426"/>
      <c r="Q14" s="1150">
        <f t="shared" si="6"/>
        <v>111</v>
      </c>
      <c r="R14" s="1565" t="s">
        <v>8</v>
      </c>
      <c r="S14" s="1566">
        <f t="shared" si="0"/>
        <v>100</v>
      </c>
      <c r="T14" s="1565" t="s">
        <v>8</v>
      </c>
      <c r="U14" s="1566">
        <f t="shared" si="1"/>
        <v>100</v>
      </c>
      <c r="V14" s="1565" t="s">
        <v>8</v>
      </c>
      <c r="W14" s="1566">
        <f t="shared" si="2"/>
        <v>100</v>
      </c>
      <c r="X14" s="1567"/>
      <c r="Y14" s="3372"/>
      <c r="Z14" s="1149">
        <f t="shared" si="7"/>
        <v>111</v>
      </c>
      <c r="AA14" s="1568">
        <f t="shared" si="3"/>
        <v>1</v>
      </c>
      <c r="AB14" s="1568">
        <f t="shared" si="4"/>
        <v>1</v>
      </c>
      <c r="AC14" s="1568">
        <f t="shared" si="5"/>
        <v>1</v>
      </c>
    </row>
    <row r="15" spans="1:29" ht="71.25">
      <c r="A15" s="2932" t="s">
        <v>2754</v>
      </c>
      <c r="B15" s="546" t="s">
        <v>538</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60" t="s">
        <v>536</v>
      </c>
      <c r="Q15" s="1569" t="str">
        <f t="shared" si="6"/>
        <v>办公集聚程度</v>
      </c>
      <c r="R15" s="1570" t="s">
        <v>8</v>
      </c>
      <c r="S15" s="1571">
        <f t="shared" si="0"/>
        <v>100</v>
      </c>
      <c r="T15" s="1570" t="s">
        <v>8</v>
      </c>
      <c r="U15" s="1571">
        <f t="shared" si="1"/>
        <v>100</v>
      </c>
      <c r="V15" s="1570" t="s">
        <v>8</v>
      </c>
      <c r="W15" s="1571">
        <f t="shared" si="2"/>
        <v>100</v>
      </c>
      <c r="X15" s="1564"/>
      <c r="Y15" s="3460" t="s">
        <v>536</v>
      </c>
      <c r="Z15" s="1572" t="str">
        <f t="shared" si="7"/>
        <v>办公集聚程度</v>
      </c>
      <c r="AA15" s="1573">
        <f t="shared" si="3"/>
        <v>1</v>
      </c>
      <c r="AB15" s="1573">
        <f t="shared" si="4"/>
        <v>1</v>
      </c>
      <c r="AC15" s="1573">
        <f t="shared" si="5"/>
        <v>1</v>
      </c>
    </row>
    <row r="16" spans="1:29" ht="15">
      <c r="A16" s="531"/>
      <c r="B16" s="552"/>
      <c r="C16" s="553"/>
      <c r="D16" s="554"/>
      <c r="E16" s="575"/>
      <c r="F16" s="554"/>
      <c r="G16" s="553"/>
      <c r="H16" s="558"/>
      <c r="I16" s="575"/>
      <c r="J16" s="554"/>
      <c r="K16" s="898"/>
      <c r="L16" s="2140"/>
      <c r="M16" s="2132"/>
      <c r="N16" s="2132"/>
      <c r="O16" s="2132"/>
      <c r="P16" s="3461"/>
      <c r="Q16" s="1569"/>
      <c r="R16" s="1570"/>
      <c r="S16" s="1571"/>
      <c r="T16" s="1570"/>
      <c r="U16" s="1571"/>
      <c r="V16" s="1570"/>
      <c r="W16" s="1571"/>
      <c r="X16" s="1564"/>
      <c r="Y16" s="3461"/>
      <c r="Z16" s="1572"/>
      <c r="AA16" s="1573">
        <v>1</v>
      </c>
      <c r="AB16" s="1573">
        <v>1</v>
      </c>
      <c r="AC16" s="1573">
        <v>1</v>
      </c>
    </row>
    <row r="17" spans="1:29" ht="114">
      <c r="A17" s="531"/>
      <c r="B17" s="559" t="s">
        <v>292</v>
      </c>
      <c r="C17" s="572" t="str">
        <f>估价对象房地状况!C6</f>
        <v>估价对象周边道路状况、公共交通通达情况：有836、917、房12等多路公交车，停车便捷程度，综合评价交通便捷度一般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61"/>
      <c r="Q17" s="1569" t="str">
        <f>B17</f>
        <v>交通便捷度</v>
      </c>
      <c r="R17" s="1570" t="s">
        <v>8</v>
      </c>
      <c r="S17" s="1571">
        <f>F17</f>
        <v>100</v>
      </c>
      <c r="T17" s="1570" t="s">
        <v>8</v>
      </c>
      <c r="U17" s="1571">
        <f>H17</f>
        <v>100</v>
      </c>
      <c r="V17" s="1570" t="s">
        <v>8</v>
      </c>
      <c r="W17" s="1571">
        <f>J17</f>
        <v>100</v>
      </c>
      <c r="X17" s="1564"/>
      <c r="Y17" s="3461"/>
      <c r="Z17" s="1572" t="str">
        <f>Q17</f>
        <v>交通便捷度</v>
      </c>
      <c r="AA17" s="1573">
        <f t="shared" si="3"/>
        <v>1</v>
      </c>
      <c r="AB17" s="1573">
        <f t="shared" si="4"/>
        <v>1</v>
      </c>
      <c r="AC17" s="1573">
        <f t="shared" si="5"/>
        <v>1</v>
      </c>
    </row>
    <row r="18" spans="1:29" ht="15">
      <c r="A18" s="531"/>
      <c r="B18" s="565"/>
      <c r="C18" s="566"/>
      <c r="D18" s="558"/>
      <c r="E18" s="568"/>
      <c r="F18" s="558"/>
      <c r="G18" s="567"/>
      <c r="H18" s="554"/>
      <c r="I18" s="567"/>
      <c r="J18" s="554"/>
      <c r="K18" s="898"/>
      <c r="L18" s="2140"/>
      <c r="M18" s="2132"/>
      <c r="N18" s="2132"/>
      <c r="O18" s="2132"/>
      <c r="P18" s="3461"/>
      <c r="Q18" s="1569"/>
      <c r="R18" s="1570"/>
      <c r="S18" s="1571"/>
      <c r="T18" s="1570"/>
      <c r="U18" s="1571"/>
      <c r="V18" s="1570"/>
      <c r="W18" s="1571"/>
      <c r="X18" s="1564"/>
      <c r="Y18" s="3461"/>
      <c r="Z18" s="1572"/>
      <c r="AA18" s="1573">
        <v>1</v>
      </c>
      <c r="AB18" s="1573">
        <v>1</v>
      </c>
      <c r="AC18" s="1573">
        <v>1</v>
      </c>
    </row>
    <row r="19" spans="1:29" ht="42.75">
      <c r="A19" s="531"/>
      <c r="B19" s="2625" t="s">
        <v>2546</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61"/>
      <c r="Q19" s="1569" t="str">
        <f>B19</f>
        <v>公共配套设施</v>
      </c>
      <c r="R19" s="1570" t="s">
        <v>8</v>
      </c>
      <c r="S19" s="1571">
        <f>F19</f>
        <v>100</v>
      </c>
      <c r="T19" s="1570" t="s">
        <v>8</v>
      </c>
      <c r="U19" s="1571">
        <f>H19</f>
        <v>100</v>
      </c>
      <c r="V19" s="1570" t="s">
        <v>8</v>
      </c>
      <c r="W19" s="1571">
        <f>J19</f>
        <v>100</v>
      </c>
      <c r="X19" s="1564"/>
      <c r="Y19" s="3461"/>
      <c r="Z19" s="1572" t="str">
        <f>Q19</f>
        <v>公共配套设施</v>
      </c>
      <c r="AA19" s="1573">
        <f t="shared" si="3"/>
        <v>1</v>
      </c>
      <c r="AB19" s="1573">
        <f t="shared" si="4"/>
        <v>1</v>
      </c>
      <c r="AC19" s="1573">
        <f t="shared" si="5"/>
        <v>1</v>
      </c>
    </row>
    <row r="20" spans="1:29" ht="15">
      <c r="A20" s="531"/>
      <c r="B20" s="565"/>
      <c r="C20" s="553"/>
      <c r="D20" s="554"/>
      <c r="E20" s="557"/>
      <c r="F20" s="554"/>
      <c r="G20" s="555"/>
      <c r="H20" s="554"/>
      <c r="I20" s="555"/>
      <c r="J20" s="554"/>
      <c r="K20" s="898"/>
      <c r="L20" s="2140"/>
      <c r="M20" s="2132"/>
      <c r="N20" s="2132"/>
      <c r="O20" s="2132"/>
      <c r="P20" s="3461"/>
      <c r="Q20" s="1569"/>
      <c r="R20" s="1570"/>
      <c r="S20" s="1571"/>
      <c r="T20" s="1570"/>
      <c r="U20" s="1571"/>
      <c r="V20" s="1570"/>
      <c r="W20" s="1571"/>
      <c r="X20" s="1564"/>
      <c r="Y20" s="3461"/>
      <c r="Z20" s="1572"/>
      <c r="AA20" s="1573">
        <v>1</v>
      </c>
      <c r="AB20" s="1573">
        <v>1</v>
      </c>
      <c r="AC20" s="1573">
        <v>1</v>
      </c>
    </row>
    <row r="21" spans="1:29" ht="28.5">
      <c r="A21" s="531"/>
      <c r="B21" s="2613" t="s">
        <v>2558</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61"/>
      <c r="Q21" s="2601" t="str">
        <f>B21</f>
        <v>基础设施水平</v>
      </c>
      <c r="R21" s="1570" t="s">
        <v>8</v>
      </c>
      <c r="S21" s="1571">
        <f>F21</f>
        <v>100</v>
      </c>
      <c r="T21" s="1570" t="s">
        <v>8</v>
      </c>
      <c r="U21" s="1571">
        <f>H21</f>
        <v>100</v>
      </c>
      <c r="V21" s="1570" t="s">
        <v>8</v>
      </c>
      <c r="W21" s="1571">
        <f>J21</f>
        <v>100</v>
      </c>
      <c r="X21" s="2603"/>
      <c r="Y21" s="3461"/>
      <c r="Z21" s="2602" t="str">
        <f>Q21</f>
        <v>基础设施水平</v>
      </c>
      <c r="AA21" s="1573">
        <f t="shared" ref="AA21" si="8">D21/F21</f>
        <v>1</v>
      </c>
      <c r="AB21" s="1573">
        <f t="shared" ref="AB21" si="9">D21/H21</f>
        <v>1</v>
      </c>
      <c r="AC21" s="1573">
        <f t="shared" ref="AC21" si="10">D21/J21</f>
        <v>1</v>
      </c>
    </row>
    <row r="22" spans="1:29" ht="15">
      <c r="A22" s="531"/>
      <c r="B22" s="577"/>
      <c r="C22" s="566"/>
      <c r="D22" s="554"/>
      <c r="E22" s="575"/>
      <c r="F22" s="554"/>
      <c r="G22" s="553"/>
      <c r="H22" s="554"/>
      <c r="I22" s="553"/>
      <c r="J22" s="554"/>
      <c r="K22" s="2624"/>
      <c r="L22" s="2140"/>
      <c r="M22" s="2132"/>
      <c r="N22" s="2132"/>
      <c r="O22" s="2132"/>
      <c r="P22" s="3461"/>
      <c r="Q22" s="2601"/>
      <c r="R22" s="1570"/>
      <c r="S22" s="1571"/>
      <c r="T22" s="1570"/>
      <c r="U22" s="1571"/>
      <c r="V22" s="1570"/>
      <c r="W22" s="1571"/>
      <c r="X22" s="2603"/>
      <c r="Y22" s="3461"/>
      <c r="Z22" s="2602"/>
      <c r="AA22" s="1573">
        <v>1</v>
      </c>
      <c r="AB22" s="1573">
        <v>1</v>
      </c>
      <c r="AC22" s="1573">
        <v>1</v>
      </c>
    </row>
    <row r="23" spans="1:29" ht="99.75">
      <c r="A23" s="531"/>
      <c r="B23" s="559" t="s">
        <v>774</v>
      </c>
      <c r="C23" s="572" t="str">
        <f>估价对象房地状况!C9</f>
        <v>周边2公里区域自然环境：牛口峪公园、周口店人民公园；人文环境：北京猿人遗址；综合评价环境状况较好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61"/>
      <c r="Q23" s="1569" t="str">
        <f>B23</f>
        <v>环境质量</v>
      </c>
      <c r="R23" s="1570" t="s">
        <v>8</v>
      </c>
      <c r="S23" s="1571">
        <f>F23</f>
        <v>100</v>
      </c>
      <c r="T23" s="1570" t="s">
        <v>8</v>
      </c>
      <c r="U23" s="1571">
        <f>H23</f>
        <v>100</v>
      </c>
      <c r="V23" s="1570" t="s">
        <v>8</v>
      </c>
      <c r="W23" s="1571">
        <f>J23</f>
        <v>100</v>
      </c>
      <c r="X23" s="1564"/>
      <c r="Y23" s="3461"/>
      <c r="Z23" s="1572" t="str">
        <f>Q23</f>
        <v>环境质量</v>
      </c>
      <c r="AA23" s="1573">
        <f t="shared" si="3"/>
        <v>1</v>
      </c>
      <c r="AB23" s="1573">
        <f t="shared" si="4"/>
        <v>1</v>
      </c>
      <c r="AC23" s="1573">
        <f t="shared" si="5"/>
        <v>1</v>
      </c>
    </row>
    <row r="24" spans="1:29" ht="15">
      <c r="A24" s="531"/>
      <c r="B24" s="577"/>
      <c r="C24" s="553"/>
      <c r="D24" s="554"/>
      <c r="E24" s="557"/>
      <c r="F24" s="554"/>
      <c r="G24" s="555"/>
      <c r="H24" s="554"/>
      <c r="I24" s="555"/>
      <c r="J24" s="554"/>
      <c r="K24" s="898"/>
      <c r="L24" s="2140"/>
      <c r="M24" s="2132"/>
      <c r="N24" s="2132"/>
      <c r="O24" s="2132"/>
      <c r="P24" s="3461"/>
      <c r="Q24" s="1569"/>
      <c r="R24" s="1570"/>
      <c r="S24" s="1571"/>
      <c r="T24" s="1570"/>
      <c r="U24" s="1571"/>
      <c r="V24" s="1570"/>
      <c r="W24" s="1571"/>
      <c r="X24" s="1564"/>
      <c r="Y24" s="3461"/>
      <c r="Z24" s="1572"/>
      <c r="AA24" s="1573">
        <v>1</v>
      </c>
      <c r="AB24" s="1573">
        <v>1</v>
      </c>
      <c r="AC24" s="1573">
        <v>1</v>
      </c>
    </row>
    <row r="25" spans="1:29" ht="27">
      <c r="A25" s="514"/>
      <c r="B25" s="559" t="s">
        <v>544</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61"/>
      <c r="Q25" s="1569" t="str">
        <f>B25</f>
        <v>毗邻道路的类型与等级</v>
      </c>
      <c r="R25" s="1570" t="s">
        <v>8</v>
      </c>
      <c r="S25" s="1571">
        <f>F25</f>
        <v>100</v>
      </c>
      <c r="T25" s="1570" t="s">
        <v>8</v>
      </c>
      <c r="U25" s="1571">
        <f>H25</f>
        <v>100</v>
      </c>
      <c r="V25" s="1570" t="s">
        <v>8</v>
      </c>
      <c r="W25" s="1571">
        <f>J25</f>
        <v>100</v>
      </c>
      <c r="X25" s="1564"/>
      <c r="Y25" s="3461"/>
      <c r="Z25" s="1572" t="str">
        <f>Q25</f>
        <v>毗邻道路的类型与等级</v>
      </c>
      <c r="AA25" s="1573">
        <f t="shared" si="3"/>
        <v>1</v>
      </c>
      <c r="AB25" s="1573">
        <f t="shared" si="4"/>
        <v>1</v>
      </c>
      <c r="AC25" s="1573">
        <f t="shared" si="5"/>
        <v>1</v>
      </c>
    </row>
    <row r="26" spans="1:29" ht="15">
      <c r="A26" s="514"/>
      <c r="B26" s="565"/>
      <c r="C26" s="579"/>
      <c r="D26" s="539"/>
      <c r="E26" s="582"/>
      <c r="F26" s="539"/>
      <c r="G26" s="579"/>
      <c r="H26" s="539"/>
      <c r="I26" s="582"/>
      <c r="J26" s="539"/>
      <c r="K26" s="898"/>
      <c r="L26" s="2140"/>
      <c r="M26" s="2132"/>
      <c r="N26" s="2132"/>
      <c r="O26" s="2132"/>
      <c r="P26" s="3461"/>
      <c r="Q26" s="1569"/>
      <c r="R26" s="1570"/>
      <c r="S26" s="1571"/>
      <c r="T26" s="1570"/>
      <c r="U26" s="1571"/>
      <c r="V26" s="1570"/>
      <c r="W26" s="1571"/>
      <c r="X26" s="1564"/>
      <c r="Y26" s="3461"/>
      <c r="Z26" s="1572"/>
      <c r="AA26" s="1573">
        <v>1</v>
      </c>
      <c r="AB26" s="1573">
        <v>1</v>
      </c>
      <c r="AC26" s="1573">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61"/>
      <c r="Q27" s="1569" t="str">
        <f t="shared" ref="Q27:Q47" si="11">B27</f>
        <v>楼层</v>
      </c>
      <c r="R27" s="1570" t="s">
        <v>8</v>
      </c>
      <c r="S27" s="1571">
        <f>F27</f>
        <v>100</v>
      </c>
      <c r="T27" s="1570" t="s">
        <v>8</v>
      </c>
      <c r="U27" s="1571">
        <f>H27</f>
        <v>100</v>
      </c>
      <c r="V27" s="1570" t="s">
        <v>8</v>
      </c>
      <c r="W27" s="1571">
        <f>J27</f>
        <v>100</v>
      </c>
      <c r="X27" s="1564"/>
      <c r="Y27" s="3461"/>
      <c r="Z27" s="1572" t="str">
        <f>Q27</f>
        <v>楼层</v>
      </c>
      <c r="AA27" s="1573">
        <f t="shared" si="3"/>
        <v>1</v>
      </c>
      <c r="AB27" s="1573">
        <f t="shared" si="4"/>
        <v>1</v>
      </c>
      <c r="AC27" s="1573">
        <f t="shared" si="5"/>
        <v>1</v>
      </c>
    </row>
    <row r="28" spans="1:29" s="1219" customFormat="1" ht="15">
      <c r="A28" s="535"/>
      <c r="B28" s="559" t="s">
        <v>775</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61"/>
      <c r="Q28" s="1150" t="str">
        <f t="shared" si="11"/>
        <v>朝向</v>
      </c>
      <c r="R28" s="1565" t="s">
        <v>8</v>
      </c>
      <c r="S28" s="1566">
        <f>F28</f>
        <v>100</v>
      </c>
      <c r="T28" s="1565" t="s">
        <v>8</v>
      </c>
      <c r="U28" s="1566">
        <f>H28</f>
        <v>100</v>
      </c>
      <c r="V28" s="1565" t="s">
        <v>8</v>
      </c>
      <c r="W28" s="1566">
        <f>J28</f>
        <v>100</v>
      </c>
      <c r="X28" s="1567"/>
      <c r="Y28" s="3461"/>
      <c r="Z28" s="1149" t="str">
        <f>Q28</f>
        <v>朝向</v>
      </c>
      <c r="AA28" s="1573">
        <f>D28/F28</f>
        <v>1</v>
      </c>
      <c r="AB28" s="1573">
        <f>D28/H28</f>
        <v>1</v>
      </c>
      <c r="AC28" s="1573">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61"/>
      <c r="Q29" s="1569">
        <f t="shared" si="11"/>
        <v>111</v>
      </c>
      <c r="R29" s="1570" t="s">
        <v>8</v>
      </c>
      <c r="S29" s="1571">
        <f t="shared" ref="S29:S47" si="12">F29</f>
        <v>100</v>
      </c>
      <c r="T29" s="1570" t="s">
        <v>8</v>
      </c>
      <c r="U29" s="1571">
        <f t="shared" ref="U29:U47" si="13">H29</f>
        <v>100</v>
      </c>
      <c r="V29" s="1570" t="s">
        <v>8</v>
      </c>
      <c r="W29" s="1571">
        <f t="shared" ref="W29:W47" si="14">J29</f>
        <v>100</v>
      </c>
      <c r="X29" s="1564"/>
      <c r="Y29" s="3461"/>
      <c r="Z29" s="1572">
        <f t="shared" ref="Z29:Z47" si="15">Q29</f>
        <v>111</v>
      </c>
      <c r="AA29" s="1573">
        <f t="shared" si="3"/>
        <v>1</v>
      </c>
      <c r="AB29" s="1573">
        <f t="shared" si="4"/>
        <v>1</v>
      </c>
      <c r="AC29" s="1573">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61"/>
      <c r="Q30" s="1569">
        <f t="shared" si="11"/>
        <v>111</v>
      </c>
      <c r="R30" s="1570" t="s">
        <v>8</v>
      </c>
      <c r="S30" s="1571">
        <f t="shared" si="12"/>
        <v>100</v>
      </c>
      <c r="T30" s="1570" t="s">
        <v>8</v>
      </c>
      <c r="U30" s="1571">
        <f t="shared" si="13"/>
        <v>100</v>
      </c>
      <c r="V30" s="1570" t="s">
        <v>8</v>
      </c>
      <c r="W30" s="1571">
        <f t="shared" si="14"/>
        <v>100</v>
      </c>
      <c r="X30" s="1564"/>
      <c r="Y30" s="3461"/>
      <c r="Z30" s="1572">
        <f t="shared" si="15"/>
        <v>111</v>
      </c>
      <c r="AA30" s="1573">
        <f t="shared" si="3"/>
        <v>1</v>
      </c>
      <c r="AB30" s="1573">
        <f t="shared" si="4"/>
        <v>1</v>
      </c>
      <c r="AC30" s="1573">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61"/>
      <c r="Q31" s="1569">
        <f t="shared" si="11"/>
        <v>111</v>
      </c>
      <c r="R31" s="1570" t="s">
        <v>8</v>
      </c>
      <c r="S31" s="1571">
        <f t="shared" si="12"/>
        <v>100</v>
      </c>
      <c r="T31" s="1570" t="s">
        <v>8</v>
      </c>
      <c r="U31" s="1571">
        <f t="shared" si="13"/>
        <v>100</v>
      </c>
      <c r="V31" s="1570" t="s">
        <v>8</v>
      </c>
      <c r="W31" s="1571">
        <f t="shared" si="14"/>
        <v>100</v>
      </c>
      <c r="X31" s="1564"/>
      <c r="Y31" s="3461"/>
      <c r="Z31" s="1572">
        <f t="shared" si="15"/>
        <v>111</v>
      </c>
      <c r="AA31" s="1573">
        <f t="shared" si="3"/>
        <v>1</v>
      </c>
      <c r="AB31" s="1573">
        <f t="shared" si="4"/>
        <v>1</v>
      </c>
      <c r="AC31" s="1573">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61"/>
      <c r="Q32" s="1569">
        <f t="shared" si="11"/>
        <v>111</v>
      </c>
      <c r="R32" s="1570" t="s">
        <v>8</v>
      </c>
      <c r="S32" s="1571">
        <f t="shared" si="12"/>
        <v>100</v>
      </c>
      <c r="T32" s="1570" t="s">
        <v>8</v>
      </c>
      <c r="U32" s="1571">
        <f t="shared" si="13"/>
        <v>100</v>
      </c>
      <c r="V32" s="1570" t="s">
        <v>8</v>
      </c>
      <c r="W32" s="1571">
        <f t="shared" si="14"/>
        <v>100</v>
      </c>
      <c r="X32" s="1564"/>
      <c r="Y32" s="3461"/>
      <c r="Z32" s="1572">
        <f t="shared" si="15"/>
        <v>111</v>
      </c>
      <c r="AA32" s="1573">
        <f t="shared" si="3"/>
        <v>1</v>
      </c>
      <c r="AB32" s="1573">
        <f t="shared" si="4"/>
        <v>1</v>
      </c>
      <c r="AC32" s="1573">
        <f t="shared" si="5"/>
        <v>1</v>
      </c>
    </row>
    <row r="33" spans="1:29" ht="15">
      <c r="A33" s="2929" t="s">
        <v>2755</v>
      </c>
      <c r="B33" s="172" t="s">
        <v>776</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62" t="s">
        <v>546</v>
      </c>
      <c r="Q33" s="1569" t="str">
        <f t="shared" si="11"/>
        <v>建筑类型</v>
      </c>
      <c r="R33" s="1570" t="s">
        <v>8</v>
      </c>
      <c r="S33" s="1571">
        <f t="shared" si="12"/>
        <v>100</v>
      </c>
      <c r="T33" s="1570" t="s">
        <v>8</v>
      </c>
      <c r="U33" s="1571">
        <f t="shared" si="13"/>
        <v>100</v>
      </c>
      <c r="V33" s="1570" t="s">
        <v>8</v>
      </c>
      <c r="W33" s="1571">
        <f t="shared" si="14"/>
        <v>100</v>
      </c>
      <c r="X33" s="1564"/>
      <c r="Y33" s="3463" t="s">
        <v>546</v>
      </c>
      <c r="Z33" s="1572" t="str">
        <f t="shared" si="15"/>
        <v>建筑类型</v>
      </c>
      <c r="AA33" s="1573">
        <f t="shared" si="3"/>
        <v>1</v>
      </c>
      <c r="AB33" s="1573">
        <f t="shared" si="4"/>
        <v>1</v>
      </c>
      <c r="AC33" s="1573">
        <f t="shared" si="5"/>
        <v>1</v>
      </c>
    </row>
    <row r="34" spans="1:29" s="1338" customFormat="1" ht="15">
      <c r="A34" s="602"/>
      <c r="B34" s="526" t="s">
        <v>722</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63"/>
      <c r="Q34" s="1602" t="str">
        <f t="shared" si="11"/>
        <v>项目建筑规模</v>
      </c>
      <c r="R34" s="1574" t="s">
        <v>8</v>
      </c>
      <c r="S34" s="1575" t="e">
        <f t="shared" si="12"/>
        <v>#N/A</v>
      </c>
      <c r="T34" s="1574" t="s">
        <v>8</v>
      </c>
      <c r="U34" s="1575" t="e">
        <f t="shared" si="13"/>
        <v>#N/A</v>
      </c>
      <c r="V34" s="1574" t="s">
        <v>8</v>
      </c>
      <c r="W34" s="1575" t="e">
        <f t="shared" si="14"/>
        <v>#N/A</v>
      </c>
      <c r="X34" s="1576"/>
      <c r="Y34" s="3463"/>
      <c r="Z34" s="1577" t="str">
        <f t="shared" si="15"/>
        <v>项目建筑规模</v>
      </c>
      <c r="AA34" s="1573" t="e">
        <f t="shared" si="3"/>
        <v>#N/A</v>
      </c>
      <c r="AB34" s="1573" t="e">
        <f t="shared" si="4"/>
        <v>#N/A</v>
      </c>
      <c r="AC34" s="1573"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63"/>
      <c r="Q35" s="1569" t="str">
        <f t="shared" si="11"/>
        <v>建筑结构</v>
      </c>
      <c r="R35" s="1570" t="s">
        <v>8</v>
      </c>
      <c r="S35" s="1571">
        <f t="shared" si="12"/>
        <v>100</v>
      </c>
      <c r="T35" s="1570" t="s">
        <v>8</v>
      </c>
      <c r="U35" s="1571">
        <f t="shared" si="13"/>
        <v>100</v>
      </c>
      <c r="V35" s="1570" t="s">
        <v>8</v>
      </c>
      <c r="W35" s="1571">
        <f t="shared" si="14"/>
        <v>100</v>
      </c>
      <c r="X35" s="1564"/>
      <c r="Y35" s="3463"/>
      <c r="Z35" s="1572" t="str">
        <f t="shared" si="15"/>
        <v>建筑结构</v>
      </c>
      <c r="AA35" s="1573">
        <f t="shared" si="3"/>
        <v>1</v>
      </c>
      <c r="AB35" s="1573">
        <f t="shared" si="4"/>
        <v>1</v>
      </c>
      <c r="AC35" s="1573">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63"/>
      <c r="Q36" s="1569" t="str">
        <f t="shared" si="11"/>
        <v>公共部分装修</v>
      </c>
      <c r="R36" s="1570" t="s">
        <v>8</v>
      </c>
      <c r="S36" s="1571">
        <f t="shared" si="12"/>
        <v>100</v>
      </c>
      <c r="T36" s="1570" t="s">
        <v>8</v>
      </c>
      <c r="U36" s="1571">
        <f t="shared" si="13"/>
        <v>100</v>
      </c>
      <c r="V36" s="1570" t="s">
        <v>8</v>
      </c>
      <c r="W36" s="1571">
        <f t="shared" si="14"/>
        <v>100</v>
      </c>
      <c r="X36" s="1564"/>
      <c r="Y36" s="3463"/>
      <c r="Z36" s="1572" t="str">
        <f t="shared" si="15"/>
        <v>公共部分装修</v>
      </c>
      <c r="AA36" s="1573">
        <f t="shared" si="3"/>
        <v>1</v>
      </c>
      <c r="AB36" s="1573">
        <f t="shared" si="4"/>
        <v>1</v>
      </c>
      <c r="AC36" s="1573">
        <f t="shared" si="5"/>
        <v>1</v>
      </c>
    </row>
    <row r="37" spans="1:29" ht="15">
      <c r="A37" s="593"/>
      <c r="B37" s="526" t="s">
        <v>760</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63"/>
      <c r="Q37" s="1569" t="str">
        <f t="shared" si="11"/>
        <v>成新度</v>
      </c>
      <c r="R37" s="1570" t="s">
        <v>8</v>
      </c>
      <c r="S37" s="1571" t="e">
        <f t="shared" si="12"/>
        <v>#N/A</v>
      </c>
      <c r="T37" s="1570" t="s">
        <v>8</v>
      </c>
      <c r="U37" s="1571" t="e">
        <f t="shared" si="13"/>
        <v>#N/A</v>
      </c>
      <c r="V37" s="1570" t="s">
        <v>8</v>
      </c>
      <c r="W37" s="1571" t="e">
        <f t="shared" si="14"/>
        <v>#N/A</v>
      </c>
      <c r="X37" s="1564"/>
      <c r="Y37" s="3463"/>
      <c r="Z37" s="1572" t="str">
        <f t="shared" si="15"/>
        <v>成新度</v>
      </c>
      <c r="AA37" s="1573" t="e">
        <f t="shared" si="3"/>
        <v>#N/A</v>
      </c>
      <c r="AB37" s="1573" t="e">
        <f t="shared" si="4"/>
        <v>#N/A</v>
      </c>
      <c r="AC37" s="1573" t="e">
        <f t="shared" si="5"/>
        <v>#N/A</v>
      </c>
    </row>
    <row r="38" spans="1:29" s="1219"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63"/>
      <c r="Q38" s="1150" t="str">
        <f t="shared" si="11"/>
        <v>写字楼等级</v>
      </c>
      <c r="R38" s="1565" t="s">
        <v>8</v>
      </c>
      <c r="S38" s="1566">
        <f t="shared" si="12"/>
        <v>100</v>
      </c>
      <c r="T38" s="1565" t="s">
        <v>8</v>
      </c>
      <c r="U38" s="1566">
        <f t="shared" si="13"/>
        <v>100</v>
      </c>
      <c r="V38" s="1565" t="s">
        <v>8</v>
      </c>
      <c r="W38" s="1566">
        <f t="shared" si="14"/>
        <v>100</v>
      </c>
      <c r="X38" s="1567"/>
      <c r="Y38" s="3463"/>
      <c r="Z38" s="1149" t="str">
        <f t="shared" si="15"/>
        <v>写字楼等级</v>
      </c>
      <c r="AA38" s="1568">
        <f t="shared" si="3"/>
        <v>1</v>
      </c>
      <c r="AB38" s="1568">
        <f t="shared" si="4"/>
        <v>1</v>
      </c>
      <c r="AC38" s="1568">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63" t="s">
        <v>546</v>
      </c>
      <c r="Q39" s="1569" t="str">
        <f t="shared" si="11"/>
        <v>物业管理</v>
      </c>
      <c r="R39" s="1570" t="s">
        <v>8</v>
      </c>
      <c r="S39" s="1571">
        <f t="shared" si="12"/>
        <v>100</v>
      </c>
      <c r="T39" s="1570" t="s">
        <v>8</v>
      </c>
      <c r="U39" s="1571">
        <f t="shared" si="13"/>
        <v>100</v>
      </c>
      <c r="V39" s="1570" t="s">
        <v>8</v>
      </c>
      <c r="W39" s="1571">
        <f t="shared" si="14"/>
        <v>100</v>
      </c>
      <c r="X39" s="1564"/>
      <c r="Y39" s="3463" t="s">
        <v>546</v>
      </c>
      <c r="Z39" s="1572" t="str">
        <f t="shared" si="15"/>
        <v>物业管理</v>
      </c>
      <c r="AA39" s="1573">
        <f t="shared" si="3"/>
        <v>1</v>
      </c>
      <c r="AB39" s="1573">
        <f t="shared" si="4"/>
        <v>1</v>
      </c>
      <c r="AC39" s="1573">
        <f t="shared" si="5"/>
        <v>1</v>
      </c>
    </row>
    <row r="40" spans="1:29" ht="15">
      <c r="A40" s="593"/>
      <c r="B40" s="1893"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63"/>
      <c r="Q40" s="1569" t="str">
        <f t="shared" si="11"/>
        <v>市政基础设施</v>
      </c>
      <c r="R40" s="1570" t="s">
        <v>8</v>
      </c>
      <c r="S40" s="1571">
        <f t="shared" si="12"/>
        <v>100</v>
      </c>
      <c r="T40" s="1570" t="s">
        <v>8</v>
      </c>
      <c r="U40" s="1571">
        <f t="shared" si="13"/>
        <v>100</v>
      </c>
      <c r="V40" s="1570" t="s">
        <v>8</v>
      </c>
      <c r="W40" s="1571">
        <f t="shared" si="14"/>
        <v>100</v>
      </c>
      <c r="X40" s="1564"/>
      <c r="Y40" s="3463"/>
      <c r="Z40" s="1572" t="str">
        <f t="shared" si="15"/>
        <v>市政基础设施</v>
      </c>
      <c r="AA40" s="1573">
        <f t="shared" si="3"/>
        <v>1</v>
      </c>
      <c r="AB40" s="1573">
        <f t="shared" si="4"/>
        <v>1</v>
      </c>
      <c r="AC40" s="1573">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63"/>
      <c r="Q41" s="1569" t="str">
        <f t="shared" si="11"/>
        <v>层高</v>
      </c>
      <c r="R41" s="1570" t="s">
        <v>8</v>
      </c>
      <c r="S41" s="1571">
        <f t="shared" si="12"/>
        <v>100</v>
      </c>
      <c r="T41" s="1570" t="s">
        <v>8</v>
      </c>
      <c r="U41" s="1571">
        <f t="shared" si="13"/>
        <v>100</v>
      </c>
      <c r="V41" s="1570" t="s">
        <v>8</v>
      </c>
      <c r="W41" s="1571">
        <f t="shared" si="14"/>
        <v>100</v>
      </c>
      <c r="X41" s="1564"/>
      <c r="Y41" s="3463"/>
      <c r="Z41" s="1572" t="str">
        <f t="shared" si="15"/>
        <v>层高</v>
      </c>
      <c r="AA41" s="1573">
        <f t="shared" si="3"/>
        <v>1</v>
      </c>
      <c r="AB41" s="1573">
        <f t="shared" si="4"/>
        <v>1</v>
      </c>
      <c r="AC41" s="1573">
        <f t="shared" si="5"/>
        <v>1</v>
      </c>
    </row>
    <row r="42" spans="1:29" s="1338" customFormat="1" ht="15">
      <c r="A42" s="602"/>
      <c r="B42" s="903"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63"/>
      <c r="Q42" s="1602" t="str">
        <f t="shared" si="11"/>
        <v>单套建筑面积</v>
      </c>
      <c r="R42" s="1574" t="s">
        <v>8</v>
      </c>
      <c r="S42" s="1575">
        <f t="shared" si="12"/>
        <v>100</v>
      </c>
      <c r="T42" s="1574" t="s">
        <v>8</v>
      </c>
      <c r="U42" s="1575">
        <f t="shared" si="13"/>
        <v>100</v>
      </c>
      <c r="V42" s="1574" t="s">
        <v>8</v>
      </c>
      <c r="W42" s="1575">
        <f t="shared" si="14"/>
        <v>100</v>
      </c>
      <c r="X42" s="1576"/>
      <c r="Y42" s="3463"/>
      <c r="Z42" s="1577" t="str">
        <f t="shared" si="15"/>
        <v>单套建筑面积</v>
      </c>
      <c r="AA42" s="1573">
        <f t="shared" si="3"/>
        <v>1</v>
      </c>
      <c r="AB42" s="1573">
        <f t="shared" si="4"/>
        <v>1</v>
      </c>
      <c r="AC42" s="1573">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63"/>
      <c r="Q43" s="1569" t="str">
        <f t="shared" si="11"/>
        <v>内部装修</v>
      </c>
      <c r="R43" s="1570" t="s">
        <v>8</v>
      </c>
      <c r="S43" s="1571">
        <f t="shared" si="12"/>
        <v>100</v>
      </c>
      <c r="T43" s="1570" t="s">
        <v>8</v>
      </c>
      <c r="U43" s="1571">
        <f t="shared" si="13"/>
        <v>100</v>
      </c>
      <c r="V43" s="1570" t="s">
        <v>8</v>
      </c>
      <c r="W43" s="1571">
        <f t="shared" si="14"/>
        <v>100</v>
      </c>
      <c r="X43" s="1564"/>
      <c r="Y43" s="3463"/>
      <c r="Z43" s="1572" t="str">
        <f t="shared" si="15"/>
        <v>内部装修</v>
      </c>
      <c r="AA43" s="1573">
        <f t="shared" si="3"/>
        <v>1</v>
      </c>
      <c r="AB43" s="1573">
        <f t="shared" si="4"/>
        <v>1</v>
      </c>
      <c r="AC43" s="1573">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63"/>
      <c r="Q44" s="1569" t="str">
        <f t="shared" si="11"/>
        <v>内部装修维护情况</v>
      </c>
      <c r="R44" s="1570" t="s">
        <v>8</v>
      </c>
      <c r="S44" s="1571">
        <f t="shared" si="12"/>
        <v>100</v>
      </c>
      <c r="T44" s="1570" t="s">
        <v>8</v>
      </c>
      <c r="U44" s="1571">
        <f t="shared" si="13"/>
        <v>100</v>
      </c>
      <c r="V44" s="1570" t="s">
        <v>8</v>
      </c>
      <c r="W44" s="1571">
        <f t="shared" si="14"/>
        <v>100</v>
      </c>
      <c r="X44" s="1564"/>
      <c r="Y44" s="3463"/>
      <c r="Z44" s="1572" t="str">
        <f t="shared" si="15"/>
        <v>内部装修维护情况</v>
      </c>
      <c r="AA44" s="1573">
        <f t="shared" si="3"/>
        <v>1</v>
      </c>
      <c r="AB44" s="1573">
        <f t="shared" si="4"/>
        <v>1</v>
      </c>
      <c r="AC44" s="1573">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63"/>
      <c r="Q45" s="1150">
        <f t="shared" si="11"/>
        <v>111</v>
      </c>
      <c r="R45" s="1565" t="s">
        <v>8</v>
      </c>
      <c r="S45" s="1566">
        <f t="shared" si="12"/>
        <v>100</v>
      </c>
      <c r="T45" s="1565" t="s">
        <v>8</v>
      </c>
      <c r="U45" s="1566">
        <f t="shared" si="13"/>
        <v>100</v>
      </c>
      <c r="V45" s="1565" t="s">
        <v>8</v>
      </c>
      <c r="W45" s="1566">
        <f t="shared" si="14"/>
        <v>100</v>
      </c>
      <c r="X45" s="1567"/>
      <c r="Y45" s="3463"/>
      <c r="Z45" s="1149">
        <f t="shared" si="15"/>
        <v>111</v>
      </c>
      <c r="AA45" s="1568">
        <f t="shared" si="3"/>
        <v>1</v>
      </c>
      <c r="AB45" s="1568">
        <f t="shared" si="4"/>
        <v>1</v>
      </c>
      <c r="AC45" s="1568">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63"/>
      <c r="Q46" s="1569">
        <f t="shared" si="11"/>
        <v>111</v>
      </c>
      <c r="R46" s="1570" t="s">
        <v>8</v>
      </c>
      <c r="S46" s="1571">
        <f t="shared" si="12"/>
        <v>100</v>
      </c>
      <c r="T46" s="1570" t="s">
        <v>8</v>
      </c>
      <c r="U46" s="1571">
        <f t="shared" si="13"/>
        <v>100</v>
      </c>
      <c r="V46" s="1570" t="s">
        <v>8</v>
      </c>
      <c r="W46" s="1571">
        <f t="shared" si="14"/>
        <v>100</v>
      </c>
      <c r="X46" s="1564"/>
      <c r="Y46" s="3463"/>
      <c r="Z46" s="1572">
        <f t="shared" si="15"/>
        <v>111</v>
      </c>
      <c r="AA46" s="1573">
        <f t="shared" si="3"/>
        <v>1</v>
      </c>
      <c r="AB46" s="1573">
        <f t="shared" si="4"/>
        <v>1</v>
      </c>
      <c r="AC46" s="1573">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540"/>
      <c r="Q47" s="1569">
        <f t="shared" si="11"/>
        <v>111</v>
      </c>
      <c r="R47" s="1570" t="s">
        <v>8</v>
      </c>
      <c r="S47" s="1571">
        <f t="shared" si="12"/>
        <v>100</v>
      </c>
      <c r="T47" s="1570" t="s">
        <v>8</v>
      </c>
      <c r="U47" s="1571">
        <f t="shared" si="13"/>
        <v>100</v>
      </c>
      <c r="V47" s="1570" t="s">
        <v>8</v>
      </c>
      <c r="W47" s="1571">
        <f t="shared" si="14"/>
        <v>100</v>
      </c>
      <c r="X47" s="1564"/>
      <c r="Y47" s="3540"/>
      <c r="Z47" s="1572">
        <f t="shared" si="15"/>
        <v>111</v>
      </c>
      <c r="AA47" s="1573">
        <f t="shared" si="3"/>
        <v>1</v>
      </c>
      <c r="AB47" s="1573">
        <f t="shared" si="4"/>
        <v>1</v>
      </c>
      <c r="AC47" s="1573">
        <f t="shared" si="5"/>
        <v>1</v>
      </c>
    </row>
    <row r="48" spans="1:29" ht="15">
      <c r="A48" s="606" t="s">
        <v>732</v>
      </c>
      <c r="B48" s="886"/>
      <c r="C48" s="2649" t="s">
        <v>1</v>
      </c>
      <c r="D48" s="2650"/>
      <c r="E48" s="2651"/>
      <c r="F48" s="2652"/>
      <c r="G48" s="2653"/>
      <c r="H48" s="2654"/>
      <c r="I48" s="2651"/>
      <c r="J48" s="2654"/>
      <c r="K48" s="1608"/>
      <c r="L48" s="2142"/>
      <c r="M48" s="2132"/>
      <c r="N48" s="2132"/>
      <c r="O48" s="2132"/>
      <c r="P48" s="3424" t="str">
        <f>A48</f>
        <v>成交单价（元/平方米）</v>
      </c>
      <c r="Q48" s="3426"/>
      <c r="R48" s="3539">
        <f>E48</f>
        <v>0</v>
      </c>
      <c r="S48" s="3539"/>
      <c r="T48" s="3539">
        <f>G48</f>
        <v>0</v>
      </c>
      <c r="U48" s="3539"/>
      <c r="V48" s="3539">
        <f>I48</f>
        <v>0</v>
      </c>
      <c r="W48" s="3539"/>
      <c r="X48" s="1556"/>
      <c r="Y48" s="1578"/>
      <c r="Z48" s="1556"/>
      <c r="AA48" s="1556"/>
      <c r="AB48" s="1556"/>
      <c r="AC48" s="1556"/>
    </row>
    <row r="49" spans="1:29" ht="15.75" thickBot="1">
      <c r="A49" s="614" t="s">
        <v>2760</v>
      </c>
      <c r="B49" s="887"/>
      <c r="C49" s="2655" t="e">
        <f>R50</f>
        <v>#DIV/0!</v>
      </c>
      <c r="D49" s="2656"/>
      <c r="E49" s="2657" t="e">
        <f>R49</f>
        <v>#DIV/0!</v>
      </c>
      <c r="F49" s="2657"/>
      <c r="G49" s="2655" t="e">
        <f>T49</f>
        <v>#DIV/0!</v>
      </c>
      <c r="H49" s="2656"/>
      <c r="I49" s="2657" t="e">
        <f>V49</f>
        <v>#DIV/0!</v>
      </c>
      <c r="J49" s="2656"/>
      <c r="K49" s="1609"/>
      <c r="L49" s="2142"/>
      <c r="M49" s="2132"/>
      <c r="N49" s="2132"/>
      <c r="O49" s="2132"/>
      <c r="P49" s="3424" t="str">
        <f>A49</f>
        <v>比较价格（元/平方米）</v>
      </c>
      <c r="Q49" s="3426"/>
      <c r="R49" s="3539" t="e">
        <f>IF(F1="售价",ROUND(PRODUCT(R48,AA7:AA47),0),ROUND(PRODUCT(R48,AA7:AA47),1))</f>
        <v>#DIV/0!</v>
      </c>
      <c r="S49" s="3539"/>
      <c r="T49" s="3539" t="e">
        <f>IF(F1="售价",ROUND(PRODUCT(T48,AB7:AB47),0),ROUND(PRODUCT(T48,AB7:AB47),1))</f>
        <v>#DIV/0!</v>
      </c>
      <c r="U49" s="3539"/>
      <c r="V49" s="3539" t="e">
        <f>IF(F1="售价",ROUND(PRODUCT(V48,AC7:AC47),0),ROUND(PRODUCT(V48,AC7:AC47),1))</f>
        <v>#DIV/0!</v>
      </c>
      <c r="W49" s="3539"/>
      <c r="X49" s="1556"/>
      <c r="Y49" s="1556"/>
      <c r="Z49" s="1556"/>
      <c r="AA49" s="1556"/>
      <c r="AB49" s="1556"/>
      <c r="AC49" s="1556"/>
    </row>
    <row r="50" spans="1:29" ht="15.75" thickBot="1">
      <c r="A50" s="620" t="s">
        <v>2934</v>
      </c>
      <c r="B50" s="621"/>
      <c r="C50" s="2658" t="e">
        <f>R50</f>
        <v>#DIV/0!</v>
      </c>
      <c r="D50" s="2658"/>
      <c r="E50" s="2658"/>
      <c r="F50" s="2658"/>
      <c r="G50" s="2658"/>
      <c r="H50" s="2658"/>
      <c r="I50" s="2658"/>
      <c r="J50" s="2658"/>
      <c r="K50" s="1610"/>
      <c r="L50" s="2142"/>
      <c r="M50" s="2132"/>
      <c r="N50" s="2132"/>
      <c r="O50" s="2132"/>
      <c r="P50" s="3541" t="str">
        <f>A50</f>
        <v>估价对象XX用房的比较价格（楼面单价，元/平方米）</v>
      </c>
      <c r="Q50" s="3424"/>
      <c r="R50" s="3538" t="e">
        <f>IF(F1="售价",ROUND(AVERAGE(R49:V49),0),ROUND(AVERAGE(R49:V49),1))</f>
        <v>#DIV/0!</v>
      </c>
      <c r="S50" s="3538"/>
      <c r="T50" s="3538"/>
      <c r="U50" s="3538"/>
      <c r="V50" s="3538"/>
      <c r="W50" s="3538"/>
      <c r="X50" s="1556"/>
      <c r="Y50" s="1556"/>
      <c r="Z50" s="1556"/>
      <c r="AA50" s="1556"/>
      <c r="AB50" s="1556"/>
      <c r="AC50" s="1556"/>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1" t="s">
        <v>570</v>
      </c>
      <c r="B58" s="1556"/>
      <c r="C58" s="1580"/>
      <c r="D58" s="1580"/>
      <c r="E58" s="1580"/>
      <c r="F58" s="1582"/>
      <c r="G58" s="1582"/>
      <c r="H58" s="1580"/>
      <c r="I58" s="1580"/>
      <c r="J58" s="1580"/>
      <c r="K58" s="1583"/>
      <c r="L58" s="1579"/>
      <c r="M58" s="1580"/>
      <c r="N58" s="1580"/>
      <c r="O58" s="1580"/>
      <c r="P58" s="2208"/>
      <c r="Q58" s="2156"/>
      <c r="R58" s="2143"/>
      <c r="S58" s="2143"/>
      <c r="T58" s="2143"/>
      <c r="U58" s="2143"/>
      <c r="V58" s="2143"/>
      <c r="W58" s="2143"/>
      <c r="X58" s="2143"/>
      <c r="Y58" s="2143"/>
      <c r="Z58" s="2143"/>
      <c r="AA58" s="2143"/>
      <c r="AB58" s="2143"/>
      <c r="AC58" s="2143"/>
    </row>
    <row r="59" spans="1:29" s="1346" customFormat="1" ht="15">
      <c r="A59" s="644" t="s">
        <v>525</v>
      </c>
      <c r="B59" s="645"/>
      <c r="C59" s="2824" t="str">
        <f>YEAR(C7)&amp;"-"&amp;MONTH(C7)</f>
        <v>2018-5</v>
      </c>
      <c r="D59" s="2826">
        <f>EDATE(C59,-1)</f>
        <v>43191</v>
      </c>
      <c r="E59" s="2826">
        <f t="shared" ref="E59:O59" si="16">EDATE(D59,-1)</f>
        <v>43160</v>
      </c>
      <c r="F59" s="2826">
        <f t="shared" si="16"/>
        <v>43132</v>
      </c>
      <c r="G59" s="2826">
        <f t="shared" si="16"/>
        <v>43101</v>
      </c>
      <c r="H59" s="2826">
        <f t="shared" si="16"/>
        <v>43070</v>
      </c>
      <c r="I59" s="2826">
        <f t="shared" si="16"/>
        <v>43040</v>
      </c>
      <c r="J59" s="2826">
        <f t="shared" si="16"/>
        <v>43009</v>
      </c>
      <c r="K59" s="2826">
        <f t="shared" si="16"/>
        <v>42979</v>
      </c>
      <c r="L59" s="2826">
        <f t="shared" si="16"/>
        <v>42948</v>
      </c>
      <c r="M59" s="2826">
        <f t="shared" si="16"/>
        <v>42917</v>
      </c>
      <c r="N59" s="2826">
        <f t="shared" si="16"/>
        <v>42887</v>
      </c>
      <c r="O59" s="2826">
        <f t="shared" si="16"/>
        <v>42856</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571</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527</v>
      </c>
      <c r="B62" s="647"/>
      <c r="C62" s="659" t="s">
        <v>572</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573</v>
      </c>
      <c r="B64" s="664" t="s">
        <v>530</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535</v>
      </c>
      <c r="B77" s="664" t="s">
        <v>581</v>
      </c>
      <c r="C77" s="702" t="s">
        <v>575</v>
      </c>
      <c r="D77" s="702" t="s">
        <v>576</v>
      </c>
      <c r="E77" s="702" t="s">
        <v>577</v>
      </c>
      <c r="F77" s="702" t="s">
        <v>578</v>
      </c>
      <c r="G77" s="702" t="s">
        <v>579</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582</v>
      </c>
      <c r="C79" s="707" t="s">
        <v>575</v>
      </c>
      <c r="D79" s="707" t="s">
        <v>576</v>
      </c>
      <c r="E79" s="707" t="s">
        <v>577</v>
      </c>
      <c r="F79" s="707" t="s">
        <v>578</v>
      </c>
      <c r="G79" s="707" t="s">
        <v>579</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2557</v>
      </c>
      <c r="C81" s="707" t="s">
        <v>575</v>
      </c>
      <c r="D81" s="707" t="s">
        <v>576</v>
      </c>
      <c r="E81" s="707" t="s">
        <v>577</v>
      </c>
      <c r="F81" s="707" t="s">
        <v>578</v>
      </c>
      <c r="G81" s="707" t="s">
        <v>579</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619" t="s">
        <v>2558</v>
      </c>
      <c r="C83" s="2620" t="s">
        <v>2559</v>
      </c>
      <c r="D83" s="2620" t="s">
        <v>2560</v>
      </c>
      <c r="E83" s="2620" t="s">
        <v>2561</v>
      </c>
      <c r="F83" s="2620" t="s">
        <v>2562</v>
      </c>
      <c r="G83" s="2620" t="s">
        <v>2563</v>
      </c>
      <c r="H83" s="673"/>
      <c r="I83" s="673"/>
      <c r="J83" s="673"/>
      <c r="K83" s="673"/>
      <c r="L83" s="673"/>
      <c r="M83" s="2623"/>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780</v>
      </c>
      <c r="C85" s="707" t="s">
        <v>575</v>
      </c>
      <c r="D85" s="707" t="s">
        <v>576</v>
      </c>
      <c r="E85" s="707" t="s">
        <v>577</v>
      </c>
      <c r="F85" s="707" t="s">
        <v>578</v>
      </c>
      <c r="G85" s="707" t="s">
        <v>579</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781</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547</v>
      </c>
      <c r="B101" s="664" t="s">
        <v>743</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745</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747</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782</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749</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2556</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783</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771</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751</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502" t="s">
        <v>784</v>
      </c>
      <c r="C1" s="503" t="s">
        <v>716</v>
      </c>
      <c r="D1" s="848"/>
      <c r="E1" s="505"/>
      <c r="F1" s="2829"/>
      <c r="G1" s="1598" t="s">
        <v>717</v>
      </c>
      <c r="H1" s="505"/>
      <c r="I1" s="505"/>
      <c r="J1" s="505"/>
      <c r="K1" s="506"/>
      <c r="L1" s="1559"/>
      <c r="M1" s="1560"/>
      <c r="N1" s="1560"/>
      <c r="O1" s="1560"/>
      <c r="P1" s="1561"/>
      <c r="Q1" s="1561"/>
      <c r="R1" s="1561"/>
      <c r="S1" s="1561"/>
      <c r="T1" s="1561"/>
      <c r="U1" s="1561"/>
      <c r="V1" s="1561"/>
      <c r="W1" s="1561"/>
      <c r="X1" s="1561"/>
      <c r="Y1" s="1561"/>
      <c r="Z1" s="1561"/>
      <c r="AA1" s="1561"/>
      <c r="AB1" s="1561"/>
      <c r="AC1" s="427"/>
    </row>
    <row r="2" spans="1:29" s="1335" customFormat="1" ht="28.5" customHeight="1">
      <c r="A2" s="422" t="s">
        <v>463</v>
      </c>
      <c r="B2" s="849" t="e">
        <f>ROUND(B3*D3/10000,0)</f>
        <v>#DIV/0!</v>
      </c>
      <c r="C2" s="2125"/>
      <c r="D2" s="2125"/>
      <c r="E2" s="2126"/>
      <c r="F2" s="2127"/>
      <c r="G2" s="2126"/>
      <c r="H2" s="2126"/>
      <c r="I2" s="2126"/>
      <c r="J2" s="2126"/>
      <c r="K2" s="2126"/>
      <c r="L2" s="2129"/>
      <c r="M2" s="2130"/>
      <c r="N2" s="2130"/>
      <c r="O2" s="2130"/>
      <c r="P2" s="1561"/>
      <c r="Q2" s="1561"/>
      <c r="R2" s="1561"/>
      <c r="S2" s="1561"/>
      <c r="T2" s="1561"/>
      <c r="U2" s="1561"/>
      <c r="V2" s="1561"/>
      <c r="W2" s="1561"/>
      <c r="X2" s="1561"/>
      <c r="Y2" s="1561"/>
      <c r="Z2" s="1561"/>
      <c r="AA2" s="1561"/>
      <c r="AB2" s="1561"/>
      <c r="AC2" s="427"/>
    </row>
    <row r="3" spans="1:29" s="1335" customFormat="1" ht="28.5" customHeight="1" thickBot="1">
      <c r="A3" s="508" t="s">
        <v>515</v>
      </c>
      <c r="B3" s="509" t="e">
        <f>C43</f>
        <v>#DIV/0!</v>
      </c>
      <c r="C3" s="851" t="s">
        <v>718</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517</v>
      </c>
      <c r="B4" s="512"/>
      <c r="C4" s="3432" t="s">
        <v>518</v>
      </c>
      <c r="D4" s="3433"/>
      <c r="E4" s="3466" t="s">
        <v>519</v>
      </c>
      <c r="F4" s="3467"/>
      <c r="G4" s="3432" t="s">
        <v>520</v>
      </c>
      <c r="H4" s="3433"/>
      <c r="I4" s="3432" t="s">
        <v>521</v>
      </c>
      <c r="J4" s="3433"/>
      <c r="K4" s="513" t="s">
        <v>522</v>
      </c>
      <c r="L4" s="2131"/>
      <c r="M4" s="2132"/>
      <c r="N4" s="2132"/>
      <c r="O4" s="2132"/>
      <c r="P4" s="3434" t="s">
        <v>523</v>
      </c>
      <c r="Q4" s="3435"/>
      <c r="R4" s="3440" t="s">
        <v>519</v>
      </c>
      <c r="S4" s="3441"/>
      <c r="T4" s="3440" t="s">
        <v>520</v>
      </c>
      <c r="U4" s="3441"/>
      <c r="V4" s="3427" t="s">
        <v>521</v>
      </c>
      <c r="W4" s="3427"/>
      <c r="X4" s="1564"/>
      <c r="Y4" s="3440" t="s">
        <v>523</v>
      </c>
      <c r="Z4" s="3441"/>
      <c r="AA4" s="3429" t="s">
        <v>519</v>
      </c>
      <c r="AB4" s="3430" t="s">
        <v>520</v>
      </c>
      <c r="AC4" s="3429" t="s">
        <v>521</v>
      </c>
    </row>
    <row r="5" spans="1:29" ht="15">
      <c r="A5" s="514"/>
      <c r="B5" s="515"/>
      <c r="C5" s="3448" t="s">
        <v>2928</v>
      </c>
      <c r="D5" s="3449"/>
      <c r="E5" s="3468" t="s">
        <v>2929</v>
      </c>
      <c r="F5" s="3469"/>
      <c r="G5" s="3448" t="s">
        <v>2930</v>
      </c>
      <c r="H5" s="3449"/>
      <c r="I5" s="3448" t="s">
        <v>2931</v>
      </c>
      <c r="J5" s="3449"/>
      <c r="K5" s="513"/>
      <c r="L5" s="2131"/>
      <c r="M5" s="2132"/>
      <c r="N5" s="2132"/>
      <c r="O5" s="2132"/>
      <c r="P5" s="3436"/>
      <c r="Q5" s="3437"/>
      <c r="R5" s="3442"/>
      <c r="S5" s="3443"/>
      <c r="T5" s="3442"/>
      <c r="U5" s="3443"/>
      <c r="V5" s="3427"/>
      <c r="W5" s="3427"/>
      <c r="X5" s="1564"/>
      <c r="Y5" s="3442"/>
      <c r="Z5" s="3443"/>
      <c r="AA5" s="3430"/>
      <c r="AB5" s="3430"/>
      <c r="AC5" s="3430"/>
    </row>
    <row r="6" spans="1:29" ht="15.75" thickBot="1">
      <c r="A6" s="516"/>
      <c r="B6" s="517"/>
      <c r="C6" s="3446" t="s">
        <v>2932</v>
      </c>
      <c r="D6" s="3447"/>
      <c r="E6" s="3464" t="s">
        <v>2932</v>
      </c>
      <c r="F6" s="3465"/>
      <c r="G6" s="3446" t="s">
        <v>2932</v>
      </c>
      <c r="H6" s="3447"/>
      <c r="I6" s="3446" t="s">
        <v>2932</v>
      </c>
      <c r="J6" s="3447"/>
      <c r="K6" s="513" t="s">
        <v>524</v>
      </c>
      <c r="L6" s="2131"/>
      <c r="M6" s="2132"/>
      <c r="N6" s="2132"/>
      <c r="O6" s="2132"/>
      <c r="P6" s="3438"/>
      <c r="Q6" s="3439"/>
      <c r="R6" s="3442"/>
      <c r="S6" s="3443"/>
      <c r="T6" s="3444"/>
      <c r="U6" s="3445"/>
      <c r="V6" s="3427"/>
      <c r="W6" s="3427"/>
      <c r="X6" s="1564"/>
      <c r="Y6" s="3444"/>
      <c r="Z6" s="3445"/>
      <c r="AA6" s="3431"/>
      <c r="AB6" s="3431"/>
      <c r="AC6" s="3431"/>
    </row>
    <row r="7" spans="1:29" s="1219" customFormat="1" ht="15.75" thickBot="1">
      <c r="A7" s="2934"/>
      <c r="B7" s="2941" t="s">
        <v>525</v>
      </c>
      <c r="C7" s="518">
        <f>'数据-取费表'!B2</f>
        <v>43234</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57" t="s">
        <v>526</v>
      </c>
      <c r="Q7" s="3459"/>
      <c r="R7" s="1565" t="s">
        <v>8</v>
      </c>
      <c r="S7" s="1566">
        <f t="shared" ref="S7:S15" si="0">F7</f>
        <v>0</v>
      </c>
      <c r="T7" s="1565" t="s">
        <v>8</v>
      </c>
      <c r="U7" s="1566">
        <f t="shared" ref="U7:U15" si="1">H7</f>
        <v>0</v>
      </c>
      <c r="V7" s="1565" t="s">
        <v>8</v>
      </c>
      <c r="W7" s="1566">
        <f t="shared" ref="W7:W15" si="2">J7</f>
        <v>0</v>
      </c>
      <c r="X7" s="1567"/>
      <c r="Y7" s="3457" t="s">
        <v>526</v>
      </c>
      <c r="Z7" s="3458"/>
      <c r="AA7" s="1568" t="e">
        <f>D7/F7</f>
        <v>#DIV/0!</v>
      </c>
      <c r="AB7" s="1568" t="e">
        <f>D7/H7</f>
        <v>#DIV/0!</v>
      </c>
      <c r="AC7" s="1568" t="e">
        <f>D7/J7</f>
        <v>#DIV/0!</v>
      </c>
    </row>
    <row r="8" spans="1:29" s="1219" customFormat="1" ht="15.75" thickBot="1">
      <c r="A8" s="2935"/>
      <c r="B8" s="2942" t="s">
        <v>527</v>
      </c>
      <c r="C8" s="524" t="s">
        <v>572</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57" t="s">
        <v>529</v>
      </c>
      <c r="Q8" s="3458"/>
      <c r="R8" s="1565" t="s">
        <v>8</v>
      </c>
      <c r="S8" s="1566">
        <f t="shared" si="0"/>
        <v>0</v>
      </c>
      <c r="T8" s="1565" t="s">
        <v>8</v>
      </c>
      <c r="U8" s="1566">
        <f t="shared" si="1"/>
        <v>0</v>
      </c>
      <c r="V8" s="1565" t="s">
        <v>8</v>
      </c>
      <c r="W8" s="1566">
        <f t="shared" si="2"/>
        <v>0</v>
      </c>
      <c r="X8" s="1567"/>
      <c r="Y8" s="3457" t="s">
        <v>529</v>
      </c>
      <c r="Z8" s="3458"/>
      <c r="AA8" s="1568" t="e">
        <f t="shared" ref="AA8:AA40" si="3">D8/F8</f>
        <v>#DIV/0!</v>
      </c>
      <c r="AB8" s="1568" t="e">
        <f t="shared" ref="AB8:AB40" si="4">D8/H8</f>
        <v>#DIV/0!</v>
      </c>
      <c r="AC8" s="1568" t="e">
        <f t="shared" ref="AC8:AC40" si="5">D8/J8</f>
        <v>#DIV/0!</v>
      </c>
    </row>
    <row r="9" spans="1:29" s="1219" customFormat="1" ht="15">
      <c r="A9" s="2936"/>
      <c r="B9" s="2943" t="s">
        <v>2756</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426" t="s">
        <v>531</v>
      </c>
      <c r="Q9" s="1150" t="str">
        <f t="shared" ref="Q9:Q15" si="6">B9</f>
        <v>用途</v>
      </c>
      <c r="R9" s="1565" t="s">
        <v>8</v>
      </c>
      <c r="S9" s="1566">
        <f t="shared" si="0"/>
        <v>100</v>
      </c>
      <c r="T9" s="1565" t="s">
        <v>8</v>
      </c>
      <c r="U9" s="1566">
        <f t="shared" si="1"/>
        <v>100</v>
      </c>
      <c r="V9" s="1565" t="s">
        <v>8</v>
      </c>
      <c r="W9" s="1566">
        <f t="shared" si="2"/>
        <v>100</v>
      </c>
      <c r="X9" s="1567"/>
      <c r="Y9" s="3372" t="s">
        <v>532</v>
      </c>
      <c r="Z9" s="1149" t="str">
        <f t="shared" ref="Z9:Z15" si="7">Q9</f>
        <v>用途</v>
      </c>
      <c r="AA9" s="1568">
        <f t="shared" si="3"/>
        <v>1</v>
      </c>
      <c r="AB9" s="1568">
        <f t="shared" si="4"/>
        <v>1</v>
      </c>
      <c r="AC9" s="1568">
        <f t="shared" si="5"/>
        <v>1</v>
      </c>
    </row>
    <row r="10" spans="1:29" s="1337" customFormat="1" ht="27">
      <c r="A10" s="2937"/>
      <c r="B10" s="2942" t="s">
        <v>2757</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426"/>
      <c r="Q10" s="1150" t="str">
        <f t="shared" si="6"/>
        <v>土地使用年限（年）</v>
      </c>
      <c r="R10" s="1565" t="s">
        <v>8</v>
      </c>
      <c r="S10" s="1566">
        <f t="shared" si="0"/>
        <v>100</v>
      </c>
      <c r="T10" s="1565" t="s">
        <v>8</v>
      </c>
      <c r="U10" s="1566">
        <f t="shared" si="1"/>
        <v>100</v>
      </c>
      <c r="V10" s="1565" t="s">
        <v>8</v>
      </c>
      <c r="W10" s="1566">
        <f t="shared" si="2"/>
        <v>100</v>
      </c>
      <c r="X10" s="1567"/>
      <c r="Y10" s="3372"/>
      <c r="Z10" s="1149" t="str">
        <f t="shared" si="7"/>
        <v>土地使用年限（年）</v>
      </c>
      <c r="AA10" s="1568">
        <f t="shared" si="3"/>
        <v>1</v>
      </c>
      <c r="AB10" s="1568">
        <f t="shared" si="4"/>
        <v>1</v>
      </c>
      <c r="AC10" s="1568">
        <f t="shared" si="5"/>
        <v>1</v>
      </c>
    </row>
    <row r="11" spans="1:29" ht="15">
      <c r="A11" s="2938"/>
      <c r="B11" s="2942"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426"/>
      <c r="Q11" s="1150" t="str">
        <f t="shared" si="6"/>
        <v>容积率</v>
      </c>
      <c r="R11" s="1565" t="s">
        <v>8</v>
      </c>
      <c r="S11" s="1566" t="e">
        <f t="shared" si="0"/>
        <v>#N/A</v>
      </c>
      <c r="T11" s="1565" t="s">
        <v>8</v>
      </c>
      <c r="U11" s="1566" t="e">
        <f t="shared" si="1"/>
        <v>#N/A</v>
      </c>
      <c r="V11" s="1565" t="s">
        <v>8</v>
      </c>
      <c r="W11" s="1566" t="e">
        <f t="shared" si="2"/>
        <v>#N/A</v>
      </c>
      <c r="X11" s="1567"/>
      <c r="Y11" s="3372"/>
      <c r="Z11" s="1149" t="str">
        <f t="shared" si="7"/>
        <v>容积率</v>
      </c>
      <c r="AA11" s="1568" t="e">
        <f t="shared" si="3"/>
        <v>#N/A</v>
      </c>
      <c r="AB11" s="1568" t="e">
        <f t="shared" si="4"/>
        <v>#N/A</v>
      </c>
      <c r="AC11" s="1568" t="e">
        <f t="shared" si="5"/>
        <v>#N/A</v>
      </c>
    </row>
    <row r="12" spans="1:29" s="1219" customFormat="1" ht="15">
      <c r="A12" s="2939"/>
      <c r="B12" s="2945">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426"/>
      <c r="Q12" s="1150">
        <f t="shared" si="6"/>
        <v>111</v>
      </c>
      <c r="R12" s="1565" t="s">
        <v>8</v>
      </c>
      <c r="S12" s="1566">
        <f t="shared" si="0"/>
        <v>100</v>
      </c>
      <c r="T12" s="1565" t="s">
        <v>8</v>
      </c>
      <c r="U12" s="1566">
        <f t="shared" si="1"/>
        <v>100</v>
      </c>
      <c r="V12" s="1565" t="s">
        <v>8</v>
      </c>
      <c r="W12" s="1566">
        <f t="shared" si="2"/>
        <v>100</v>
      </c>
      <c r="X12" s="1567"/>
      <c r="Y12" s="3372"/>
      <c r="Z12" s="1149">
        <f t="shared" si="7"/>
        <v>111</v>
      </c>
      <c r="AA12" s="1568">
        <f>D12/F12</f>
        <v>1</v>
      </c>
      <c r="AB12" s="1568">
        <f>D12/H12</f>
        <v>1</v>
      </c>
      <c r="AC12" s="1568">
        <f>D12/J12</f>
        <v>1</v>
      </c>
    </row>
    <row r="13" spans="1:29" ht="15">
      <c r="A13" s="2939"/>
      <c r="B13" s="2945">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426"/>
      <c r="Q13" s="1150">
        <f t="shared" si="6"/>
        <v>111</v>
      </c>
      <c r="R13" s="1565" t="s">
        <v>8</v>
      </c>
      <c r="S13" s="1566">
        <f t="shared" si="0"/>
        <v>100</v>
      </c>
      <c r="T13" s="1565" t="s">
        <v>8</v>
      </c>
      <c r="U13" s="1566">
        <f t="shared" si="1"/>
        <v>100</v>
      </c>
      <c r="V13" s="1565" t="s">
        <v>8</v>
      </c>
      <c r="W13" s="1566">
        <f t="shared" si="2"/>
        <v>100</v>
      </c>
      <c r="X13" s="1567"/>
      <c r="Y13" s="3372"/>
      <c r="Z13" s="1149">
        <f t="shared" si="7"/>
        <v>111</v>
      </c>
      <c r="AA13" s="1568">
        <f t="shared" si="3"/>
        <v>1</v>
      </c>
      <c r="AB13" s="1568">
        <f t="shared" si="4"/>
        <v>1</v>
      </c>
      <c r="AC13" s="1568">
        <f t="shared" si="5"/>
        <v>1</v>
      </c>
    </row>
    <row r="14" spans="1:29" ht="15.75" thickBot="1">
      <c r="A14" s="2940"/>
      <c r="B14" s="2946">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426"/>
      <c r="Q14" s="1150">
        <f t="shared" si="6"/>
        <v>111</v>
      </c>
      <c r="R14" s="1565" t="s">
        <v>8</v>
      </c>
      <c r="S14" s="1566">
        <f t="shared" si="0"/>
        <v>100</v>
      </c>
      <c r="T14" s="1565" t="s">
        <v>8</v>
      </c>
      <c r="U14" s="1566">
        <f t="shared" si="1"/>
        <v>100</v>
      </c>
      <c r="V14" s="1565" t="s">
        <v>8</v>
      </c>
      <c r="W14" s="1566">
        <f t="shared" si="2"/>
        <v>100</v>
      </c>
      <c r="X14" s="1567"/>
      <c r="Y14" s="3372"/>
      <c r="Z14" s="1149">
        <f t="shared" si="7"/>
        <v>111</v>
      </c>
      <c r="AA14" s="1568">
        <f t="shared" si="3"/>
        <v>1</v>
      </c>
      <c r="AB14" s="1568">
        <f t="shared" si="4"/>
        <v>1</v>
      </c>
      <c r="AC14" s="1568">
        <f t="shared" si="5"/>
        <v>1</v>
      </c>
    </row>
    <row r="15" spans="1:29" ht="57">
      <c r="A15" s="2932" t="s">
        <v>2754</v>
      </c>
      <c r="B15" s="166" t="s">
        <v>785</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60" t="s">
        <v>536</v>
      </c>
      <c r="Q15" s="1569" t="str">
        <f t="shared" si="6"/>
        <v>产业集聚程度</v>
      </c>
      <c r="R15" s="1570" t="s">
        <v>8</v>
      </c>
      <c r="S15" s="1571">
        <f t="shared" si="0"/>
        <v>100</v>
      </c>
      <c r="T15" s="1570" t="s">
        <v>8</v>
      </c>
      <c r="U15" s="1571">
        <f t="shared" si="1"/>
        <v>100</v>
      </c>
      <c r="V15" s="1570" t="s">
        <v>8</v>
      </c>
      <c r="W15" s="1571">
        <f t="shared" si="2"/>
        <v>100</v>
      </c>
      <c r="X15" s="1564"/>
      <c r="Y15" s="3460" t="s">
        <v>536</v>
      </c>
      <c r="Z15" s="1572" t="str">
        <f t="shared" si="7"/>
        <v>产业集聚程度</v>
      </c>
      <c r="AA15" s="1573">
        <f t="shared" si="3"/>
        <v>1</v>
      </c>
      <c r="AB15" s="1573">
        <f t="shared" si="4"/>
        <v>1</v>
      </c>
      <c r="AC15" s="1573">
        <f t="shared" si="5"/>
        <v>1</v>
      </c>
    </row>
    <row r="16" spans="1:29" ht="15">
      <c r="A16" s="531"/>
      <c r="B16" s="868"/>
      <c r="C16" s="575"/>
      <c r="D16" s="554"/>
      <c r="E16" s="575"/>
      <c r="F16" s="556"/>
      <c r="G16" s="575"/>
      <c r="H16" s="558"/>
      <c r="I16" s="575"/>
      <c r="J16" s="554"/>
      <c r="K16" s="898"/>
      <c r="L16" s="2140"/>
      <c r="M16" s="2132"/>
      <c r="N16" s="2132"/>
      <c r="O16" s="2139"/>
      <c r="P16" s="3461"/>
      <c r="Q16" s="1569"/>
      <c r="R16" s="1570"/>
      <c r="S16" s="1571"/>
      <c r="T16" s="1570"/>
      <c r="U16" s="1571"/>
      <c r="V16" s="1570"/>
      <c r="W16" s="1571"/>
      <c r="X16" s="1564"/>
      <c r="Y16" s="3461"/>
      <c r="Z16" s="1572"/>
      <c r="AA16" s="1573">
        <v>1</v>
      </c>
      <c r="AB16" s="1573">
        <v>1</v>
      </c>
      <c r="AC16" s="1573">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61"/>
      <c r="Q17" s="1569" t="str">
        <f>B17</f>
        <v>交通便捷度</v>
      </c>
      <c r="R17" s="1570" t="s">
        <v>8</v>
      </c>
      <c r="S17" s="1571">
        <f>F17</f>
        <v>100</v>
      </c>
      <c r="T17" s="1570" t="s">
        <v>8</v>
      </c>
      <c r="U17" s="1571">
        <f>H17</f>
        <v>100</v>
      </c>
      <c r="V17" s="1570" t="s">
        <v>8</v>
      </c>
      <c r="W17" s="1571">
        <f>J17</f>
        <v>100</v>
      </c>
      <c r="X17" s="1564"/>
      <c r="Y17" s="3461"/>
      <c r="Z17" s="1572" t="str">
        <f>Q17</f>
        <v>交通便捷度</v>
      </c>
      <c r="AA17" s="1573">
        <f t="shared" si="3"/>
        <v>1</v>
      </c>
      <c r="AB17" s="1573">
        <f t="shared" si="4"/>
        <v>1</v>
      </c>
      <c r="AC17" s="1573">
        <f t="shared" si="5"/>
        <v>1</v>
      </c>
    </row>
    <row r="18" spans="1:29" ht="15">
      <c r="A18" s="531"/>
      <c r="B18" s="594"/>
      <c r="C18" s="872"/>
      <c r="D18" s="558"/>
      <c r="E18" s="567"/>
      <c r="F18" s="562"/>
      <c r="G18" s="568"/>
      <c r="H18" s="554"/>
      <c r="I18" s="567"/>
      <c r="J18" s="554"/>
      <c r="K18" s="898"/>
      <c r="L18" s="2140"/>
      <c r="M18" s="2132"/>
      <c r="N18" s="2132"/>
      <c r="O18" s="2139"/>
      <c r="P18" s="3461"/>
      <c r="Q18" s="1569"/>
      <c r="R18" s="1570"/>
      <c r="S18" s="1571"/>
      <c r="T18" s="1570"/>
      <c r="U18" s="1571"/>
      <c r="V18" s="1570"/>
      <c r="W18" s="1571"/>
      <c r="X18" s="1564"/>
      <c r="Y18" s="3461"/>
      <c r="Z18" s="1572"/>
      <c r="AA18" s="1573">
        <v>1</v>
      </c>
      <c r="AB18" s="1573">
        <v>1</v>
      </c>
      <c r="AC18" s="1573">
        <v>1</v>
      </c>
    </row>
    <row r="19" spans="1:29" ht="42.75">
      <c r="A19" s="531"/>
      <c r="B19" s="2625"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61"/>
      <c r="Q19" s="1569" t="str">
        <f>B19</f>
        <v>公共配套设施</v>
      </c>
      <c r="R19" s="1570" t="s">
        <v>8</v>
      </c>
      <c r="S19" s="1571">
        <f>F19</f>
        <v>100</v>
      </c>
      <c r="T19" s="1570" t="s">
        <v>8</v>
      </c>
      <c r="U19" s="1571">
        <f>H19</f>
        <v>100</v>
      </c>
      <c r="V19" s="1570" t="s">
        <v>8</v>
      </c>
      <c r="W19" s="1571">
        <f>J19</f>
        <v>100</v>
      </c>
      <c r="X19" s="1564"/>
      <c r="Y19" s="3461"/>
      <c r="Z19" s="1572" t="str">
        <f>Q19</f>
        <v>公共配套设施</v>
      </c>
      <c r="AA19" s="1573">
        <f t="shared" si="3"/>
        <v>1</v>
      </c>
      <c r="AB19" s="1573">
        <f t="shared" si="4"/>
        <v>1</v>
      </c>
      <c r="AC19" s="1573">
        <f t="shared" si="5"/>
        <v>1</v>
      </c>
    </row>
    <row r="20" spans="1:29" ht="15">
      <c r="A20" s="531"/>
      <c r="B20" s="565"/>
      <c r="C20" s="575"/>
      <c r="D20" s="554"/>
      <c r="E20" s="555"/>
      <c r="F20" s="556"/>
      <c r="G20" s="557"/>
      <c r="H20" s="554"/>
      <c r="I20" s="555"/>
      <c r="J20" s="554"/>
      <c r="K20" s="898"/>
      <c r="L20" s="2140"/>
      <c r="M20" s="2132"/>
      <c r="N20" s="2132"/>
      <c r="O20" s="2139"/>
      <c r="P20" s="3461"/>
      <c r="Q20" s="1569"/>
      <c r="R20" s="1570"/>
      <c r="S20" s="1571"/>
      <c r="T20" s="1570"/>
      <c r="U20" s="1571"/>
      <c r="V20" s="1570"/>
      <c r="W20" s="1571"/>
      <c r="X20" s="1564"/>
      <c r="Y20" s="3461"/>
      <c r="Z20" s="1572"/>
      <c r="AA20" s="1573">
        <v>1</v>
      </c>
      <c r="AB20" s="1573">
        <v>1</v>
      </c>
      <c r="AC20" s="1573">
        <v>1</v>
      </c>
    </row>
    <row r="21" spans="1:29" ht="28.5">
      <c r="A21" s="531"/>
      <c r="B21" s="2613"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61"/>
      <c r="Q21" s="2601" t="str">
        <f>B21</f>
        <v>基础设施水平</v>
      </c>
      <c r="R21" s="1570" t="s">
        <v>8</v>
      </c>
      <c r="S21" s="1571">
        <f>F21</f>
        <v>100</v>
      </c>
      <c r="T21" s="1570" t="s">
        <v>8</v>
      </c>
      <c r="U21" s="1571">
        <f>H21</f>
        <v>100</v>
      </c>
      <c r="V21" s="1570" t="s">
        <v>8</v>
      </c>
      <c r="W21" s="1571">
        <f>J21</f>
        <v>100</v>
      </c>
      <c r="X21" s="2603"/>
      <c r="Y21" s="3461"/>
      <c r="Z21" s="2602" t="str">
        <f>Q21</f>
        <v>基础设施水平</v>
      </c>
      <c r="AA21" s="1573">
        <f t="shared" ref="AA21" si="8">D21/F21</f>
        <v>1</v>
      </c>
      <c r="AB21" s="1573">
        <f t="shared" ref="AB21" si="9">D21/H21</f>
        <v>1</v>
      </c>
      <c r="AC21" s="1573">
        <f t="shared" ref="AC21" si="10">D21/J21</f>
        <v>1</v>
      </c>
    </row>
    <row r="22" spans="1:29" ht="15">
      <c r="A22" s="531"/>
      <c r="B22" s="577"/>
      <c r="C22" s="872"/>
      <c r="D22" s="554"/>
      <c r="E22" s="575"/>
      <c r="F22" s="556"/>
      <c r="G22" s="575"/>
      <c r="H22" s="554"/>
      <c r="I22" s="575"/>
      <c r="J22" s="554"/>
      <c r="K22" s="2624"/>
      <c r="L22" s="2140"/>
      <c r="M22" s="2132"/>
      <c r="N22" s="2132"/>
      <c r="O22" s="2139"/>
      <c r="P22" s="3461"/>
      <c r="Q22" s="2601"/>
      <c r="R22" s="1570"/>
      <c r="S22" s="1571"/>
      <c r="T22" s="1570"/>
      <c r="U22" s="1571"/>
      <c r="V22" s="1570"/>
      <c r="W22" s="1571"/>
      <c r="X22" s="2603"/>
      <c r="Y22" s="3461"/>
      <c r="Z22" s="2602"/>
      <c r="AA22" s="1573">
        <v>1</v>
      </c>
      <c r="AB22" s="1573">
        <v>1</v>
      </c>
      <c r="AC22" s="1573">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61"/>
      <c r="Q23" s="1569" t="str">
        <f>B23</f>
        <v>环境质量</v>
      </c>
      <c r="R23" s="1570" t="s">
        <v>8</v>
      </c>
      <c r="S23" s="1571">
        <f>F23</f>
        <v>100</v>
      </c>
      <c r="T23" s="1570" t="s">
        <v>8</v>
      </c>
      <c r="U23" s="1571">
        <f>H23</f>
        <v>100</v>
      </c>
      <c r="V23" s="1570" t="s">
        <v>8</v>
      </c>
      <c r="W23" s="1571">
        <f>J23</f>
        <v>100</v>
      </c>
      <c r="X23" s="1564"/>
      <c r="Y23" s="3461"/>
      <c r="Z23" s="1572" t="str">
        <f>Q23</f>
        <v>环境质量</v>
      </c>
      <c r="AA23" s="1573">
        <f t="shared" si="3"/>
        <v>1</v>
      </c>
      <c r="AB23" s="1573">
        <f t="shared" si="4"/>
        <v>1</v>
      </c>
      <c r="AC23" s="1573">
        <f t="shared" si="5"/>
        <v>1</v>
      </c>
    </row>
    <row r="24" spans="1:29" ht="15">
      <c r="A24" s="531"/>
      <c r="B24" s="921"/>
      <c r="C24" s="575"/>
      <c r="D24" s="554"/>
      <c r="E24" s="555"/>
      <c r="F24" s="556"/>
      <c r="G24" s="557"/>
      <c r="H24" s="554"/>
      <c r="I24" s="555"/>
      <c r="J24" s="554"/>
      <c r="K24" s="898"/>
      <c r="L24" s="2140"/>
      <c r="M24" s="2132"/>
      <c r="N24" s="2132"/>
      <c r="O24" s="2139"/>
      <c r="P24" s="3461"/>
      <c r="Q24" s="1569"/>
      <c r="R24" s="1570"/>
      <c r="S24" s="1571"/>
      <c r="T24" s="1570"/>
      <c r="U24" s="1571"/>
      <c r="V24" s="1570"/>
      <c r="W24" s="1571"/>
      <c r="X24" s="1564"/>
      <c r="Y24" s="3461"/>
      <c r="Z24" s="1572"/>
      <c r="AA24" s="1573">
        <v>1</v>
      </c>
      <c r="AB24" s="1573">
        <v>1</v>
      </c>
      <c r="AC24" s="1573">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61"/>
      <c r="Q25" s="1569">
        <f>B25</f>
        <v>111</v>
      </c>
      <c r="R25" s="1570" t="s">
        <v>8</v>
      </c>
      <c r="S25" s="1571">
        <f>F25</f>
        <v>100</v>
      </c>
      <c r="T25" s="1570" t="s">
        <v>8</v>
      </c>
      <c r="U25" s="1571">
        <f>H25</f>
        <v>100</v>
      </c>
      <c r="V25" s="1570" t="s">
        <v>8</v>
      </c>
      <c r="W25" s="1571">
        <f>J25</f>
        <v>100</v>
      </c>
      <c r="X25" s="1564"/>
      <c r="Y25" s="3461"/>
      <c r="Z25" s="1572">
        <f>Q25</f>
        <v>111</v>
      </c>
      <c r="AA25" s="1573">
        <f t="shared" si="3"/>
        <v>1</v>
      </c>
      <c r="AB25" s="1573">
        <f t="shared" si="4"/>
        <v>1</v>
      </c>
      <c r="AC25" s="1573">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61"/>
      <c r="Q26" s="1569">
        <f t="shared" ref="Q26:Q40" si="11">B26</f>
        <v>111</v>
      </c>
      <c r="R26" s="1570" t="s">
        <v>8</v>
      </c>
      <c r="S26" s="1571">
        <f>F26</f>
        <v>100</v>
      </c>
      <c r="T26" s="1570" t="s">
        <v>8</v>
      </c>
      <c r="U26" s="1571">
        <f>H26</f>
        <v>100</v>
      </c>
      <c r="V26" s="1570" t="s">
        <v>8</v>
      </c>
      <c r="W26" s="1571">
        <f>J26</f>
        <v>100</v>
      </c>
      <c r="X26" s="1564"/>
      <c r="Y26" s="3461"/>
      <c r="Z26" s="1572">
        <f>Q26</f>
        <v>111</v>
      </c>
      <c r="AA26" s="1573">
        <f t="shared" si="3"/>
        <v>1</v>
      </c>
      <c r="AB26" s="1573">
        <f t="shared" si="4"/>
        <v>1</v>
      </c>
      <c r="AC26" s="1573">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61"/>
      <c r="Q27" s="1150">
        <f t="shared" si="11"/>
        <v>111</v>
      </c>
      <c r="R27" s="1565" t="s">
        <v>8</v>
      </c>
      <c r="S27" s="1566">
        <f>F27</f>
        <v>100</v>
      </c>
      <c r="T27" s="1565" t="s">
        <v>8</v>
      </c>
      <c r="U27" s="1566">
        <f>H27</f>
        <v>100</v>
      </c>
      <c r="V27" s="1565" t="s">
        <v>8</v>
      </c>
      <c r="W27" s="1566">
        <f>J27</f>
        <v>100</v>
      </c>
      <c r="X27" s="1567"/>
      <c r="Y27" s="3461"/>
      <c r="Z27" s="1149">
        <f>Q27</f>
        <v>111</v>
      </c>
      <c r="AA27" s="1573">
        <f>D27/F27</f>
        <v>1</v>
      </c>
      <c r="AB27" s="1573">
        <f>D27/H27</f>
        <v>1</v>
      </c>
      <c r="AC27" s="1573">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61"/>
      <c r="Q28" s="1569">
        <f t="shared" si="11"/>
        <v>111</v>
      </c>
      <c r="R28" s="1570" t="s">
        <v>8</v>
      </c>
      <c r="S28" s="1571">
        <f t="shared" ref="S28:S40" si="12">F28</f>
        <v>100</v>
      </c>
      <c r="T28" s="1570" t="s">
        <v>8</v>
      </c>
      <c r="U28" s="1571">
        <f t="shared" ref="U28:U40" si="13">H28</f>
        <v>100</v>
      </c>
      <c r="V28" s="1570" t="s">
        <v>8</v>
      </c>
      <c r="W28" s="1571">
        <f t="shared" ref="W28:W40" si="14">J28</f>
        <v>100</v>
      </c>
      <c r="X28" s="1564"/>
      <c r="Y28" s="3461"/>
      <c r="Z28" s="1572">
        <f t="shared" ref="Z28:Z40" si="15">Q28</f>
        <v>111</v>
      </c>
      <c r="AA28" s="1573">
        <f t="shared" si="3"/>
        <v>1</v>
      </c>
      <c r="AB28" s="1573">
        <f t="shared" si="4"/>
        <v>1</v>
      </c>
      <c r="AC28" s="1573">
        <f t="shared" si="5"/>
        <v>1</v>
      </c>
    </row>
    <row r="29" spans="1:29" ht="15">
      <c r="A29" s="2929" t="s">
        <v>2755</v>
      </c>
      <c r="B29" s="172" t="s">
        <v>776</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62" t="s">
        <v>546</v>
      </c>
      <c r="Q29" s="1569" t="str">
        <f t="shared" si="11"/>
        <v>建筑类型</v>
      </c>
      <c r="R29" s="1570" t="s">
        <v>8</v>
      </c>
      <c r="S29" s="1571">
        <f t="shared" si="12"/>
        <v>100</v>
      </c>
      <c r="T29" s="1570" t="s">
        <v>8</v>
      </c>
      <c r="U29" s="1571">
        <f t="shared" si="13"/>
        <v>100</v>
      </c>
      <c r="V29" s="1570" t="s">
        <v>8</v>
      </c>
      <c r="W29" s="1571">
        <f t="shared" si="14"/>
        <v>100</v>
      </c>
      <c r="X29" s="1564"/>
      <c r="Y29" s="3463" t="s">
        <v>546</v>
      </c>
      <c r="Z29" s="1572" t="str">
        <f t="shared" si="15"/>
        <v>建筑类型</v>
      </c>
      <c r="AA29" s="1573">
        <f t="shared" si="3"/>
        <v>1</v>
      </c>
      <c r="AB29" s="1573">
        <f t="shared" si="4"/>
        <v>1</v>
      </c>
      <c r="AC29" s="1573">
        <f t="shared" si="5"/>
        <v>1</v>
      </c>
    </row>
    <row r="30" spans="1:29" s="1338" customFormat="1" ht="15">
      <c r="A30" s="602"/>
      <c r="B30" s="526" t="s">
        <v>722</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63"/>
      <c r="Q30" s="1602" t="str">
        <f t="shared" si="11"/>
        <v>项目建筑规模</v>
      </c>
      <c r="R30" s="1574" t="s">
        <v>8</v>
      </c>
      <c r="S30" s="1575" t="e">
        <f t="shared" si="12"/>
        <v>#N/A</v>
      </c>
      <c r="T30" s="1574" t="s">
        <v>8</v>
      </c>
      <c r="U30" s="1575" t="e">
        <f t="shared" si="13"/>
        <v>#N/A</v>
      </c>
      <c r="V30" s="1574" t="s">
        <v>8</v>
      </c>
      <c r="W30" s="1575" t="e">
        <f t="shared" si="14"/>
        <v>#N/A</v>
      </c>
      <c r="X30" s="1576"/>
      <c r="Y30" s="3463"/>
      <c r="Z30" s="1577" t="str">
        <f t="shared" si="15"/>
        <v>项目建筑规模</v>
      </c>
      <c r="AA30" s="1573" t="e">
        <f t="shared" si="3"/>
        <v>#N/A</v>
      </c>
      <c r="AB30" s="1573" t="e">
        <f t="shared" si="4"/>
        <v>#N/A</v>
      </c>
      <c r="AC30" s="1573"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63"/>
      <c r="Q31" s="1569" t="str">
        <f t="shared" si="11"/>
        <v>建筑结构</v>
      </c>
      <c r="R31" s="1570" t="s">
        <v>8</v>
      </c>
      <c r="S31" s="1571">
        <f t="shared" si="12"/>
        <v>100</v>
      </c>
      <c r="T31" s="1570" t="s">
        <v>8</v>
      </c>
      <c r="U31" s="1571">
        <f t="shared" si="13"/>
        <v>100</v>
      </c>
      <c r="V31" s="1570" t="s">
        <v>8</v>
      </c>
      <c r="W31" s="1571">
        <f t="shared" si="14"/>
        <v>100</v>
      </c>
      <c r="X31" s="1564"/>
      <c r="Y31" s="3463"/>
      <c r="Z31" s="1572" t="str">
        <f t="shared" si="15"/>
        <v>建筑结构</v>
      </c>
      <c r="AA31" s="1573">
        <f t="shared" si="3"/>
        <v>1</v>
      </c>
      <c r="AB31" s="1573">
        <f t="shared" si="4"/>
        <v>1</v>
      </c>
      <c r="AC31" s="1573">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63"/>
      <c r="Q32" s="1569" t="str">
        <f t="shared" si="11"/>
        <v>公共部分装修</v>
      </c>
      <c r="R32" s="1570" t="s">
        <v>8</v>
      </c>
      <c r="S32" s="1571">
        <f t="shared" si="12"/>
        <v>100</v>
      </c>
      <c r="T32" s="1570" t="s">
        <v>8</v>
      </c>
      <c r="U32" s="1571">
        <f t="shared" si="13"/>
        <v>100</v>
      </c>
      <c r="V32" s="1570" t="s">
        <v>8</v>
      </c>
      <c r="W32" s="1571">
        <f t="shared" si="14"/>
        <v>100</v>
      </c>
      <c r="X32" s="1564"/>
      <c r="Y32" s="3463"/>
      <c r="Z32" s="1572" t="str">
        <f t="shared" si="15"/>
        <v>公共部分装修</v>
      </c>
      <c r="AA32" s="1573">
        <f t="shared" si="3"/>
        <v>1</v>
      </c>
      <c r="AB32" s="1573">
        <f t="shared" si="4"/>
        <v>1</v>
      </c>
      <c r="AC32" s="1573">
        <f t="shared" si="5"/>
        <v>1</v>
      </c>
    </row>
    <row r="33" spans="1:29" ht="15">
      <c r="A33" s="593"/>
      <c r="B33" s="526" t="s">
        <v>760</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63"/>
      <c r="Q33" s="1569" t="str">
        <f t="shared" si="11"/>
        <v>成新度</v>
      </c>
      <c r="R33" s="1570" t="s">
        <v>8</v>
      </c>
      <c r="S33" s="1571" t="e">
        <f t="shared" si="12"/>
        <v>#N/A</v>
      </c>
      <c r="T33" s="1570" t="s">
        <v>8</v>
      </c>
      <c r="U33" s="1571" t="e">
        <f t="shared" si="13"/>
        <v>#N/A</v>
      </c>
      <c r="V33" s="1570" t="s">
        <v>8</v>
      </c>
      <c r="W33" s="1571" t="e">
        <f t="shared" si="14"/>
        <v>#N/A</v>
      </c>
      <c r="X33" s="1564"/>
      <c r="Y33" s="3463"/>
      <c r="Z33" s="1572" t="str">
        <f t="shared" si="15"/>
        <v>成新度</v>
      </c>
      <c r="AA33" s="1573" t="e">
        <f t="shared" si="3"/>
        <v>#N/A</v>
      </c>
      <c r="AB33" s="1573" t="e">
        <f t="shared" si="4"/>
        <v>#N/A</v>
      </c>
      <c r="AC33" s="1573" t="e">
        <f t="shared" si="5"/>
        <v>#N/A</v>
      </c>
    </row>
    <row r="34" spans="1:29" s="1219"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63"/>
      <c r="Q34" s="1150" t="str">
        <f t="shared" si="11"/>
        <v>物业管理</v>
      </c>
      <c r="R34" s="1565" t="s">
        <v>8</v>
      </c>
      <c r="S34" s="1566">
        <f t="shared" si="12"/>
        <v>100</v>
      </c>
      <c r="T34" s="1565" t="s">
        <v>8</v>
      </c>
      <c r="U34" s="1566">
        <f t="shared" si="13"/>
        <v>100</v>
      </c>
      <c r="V34" s="1565" t="s">
        <v>8</v>
      </c>
      <c r="W34" s="1566">
        <f t="shared" si="14"/>
        <v>100</v>
      </c>
      <c r="X34" s="1567"/>
      <c r="Y34" s="3463"/>
      <c r="Z34" s="1149" t="str">
        <f t="shared" si="15"/>
        <v>物业管理</v>
      </c>
      <c r="AA34" s="1568">
        <f t="shared" si="3"/>
        <v>1</v>
      </c>
      <c r="AB34" s="1568">
        <f t="shared" si="4"/>
        <v>1</v>
      </c>
      <c r="AC34" s="1568">
        <f t="shared" si="5"/>
        <v>1</v>
      </c>
    </row>
    <row r="35" spans="1:29" ht="15">
      <c r="A35" s="593"/>
      <c r="B35" s="1893"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63" t="s">
        <v>546</v>
      </c>
      <c r="Q35" s="1569" t="str">
        <f t="shared" si="11"/>
        <v>市政基础设施</v>
      </c>
      <c r="R35" s="1570" t="s">
        <v>8</v>
      </c>
      <c r="S35" s="1571">
        <f t="shared" si="12"/>
        <v>100</v>
      </c>
      <c r="T35" s="1570" t="s">
        <v>8</v>
      </c>
      <c r="U35" s="1571">
        <f t="shared" si="13"/>
        <v>100</v>
      </c>
      <c r="V35" s="1570" t="s">
        <v>8</v>
      </c>
      <c r="W35" s="1571">
        <f t="shared" si="14"/>
        <v>100</v>
      </c>
      <c r="X35" s="1564"/>
      <c r="Y35" s="3463" t="s">
        <v>546</v>
      </c>
      <c r="Z35" s="1572" t="str">
        <f t="shared" si="15"/>
        <v>市政基础设施</v>
      </c>
      <c r="AA35" s="1573">
        <f t="shared" si="3"/>
        <v>1</v>
      </c>
      <c r="AB35" s="1573">
        <f t="shared" si="4"/>
        <v>1</v>
      </c>
      <c r="AC35" s="1573">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63"/>
      <c r="Q36" s="1569" t="str">
        <f t="shared" si="11"/>
        <v>内部装修</v>
      </c>
      <c r="R36" s="1570" t="s">
        <v>8</v>
      </c>
      <c r="S36" s="1571">
        <f t="shared" si="12"/>
        <v>100</v>
      </c>
      <c r="T36" s="1570" t="s">
        <v>8</v>
      </c>
      <c r="U36" s="1571">
        <f t="shared" si="13"/>
        <v>100</v>
      </c>
      <c r="V36" s="1570" t="s">
        <v>8</v>
      </c>
      <c r="W36" s="1571">
        <f t="shared" si="14"/>
        <v>100</v>
      </c>
      <c r="X36" s="1564"/>
      <c r="Y36" s="3463"/>
      <c r="Z36" s="1572" t="str">
        <f t="shared" si="15"/>
        <v>内部装修</v>
      </c>
      <c r="AA36" s="1573">
        <f t="shared" si="3"/>
        <v>1</v>
      </c>
      <c r="AB36" s="1573">
        <f t="shared" si="4"/>
        <v>1</v>
      </c>
      <c r="AC36" s="1573">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63"/>
      <c r="Q37" s="1569" t="str">
        <f t="shared" si="11"/>
        <v>内部装修状况</v>
      </c>
      <c r="R37" s="1570" t="s">
        <v>8</v>
      </c>
      <c r="S37" s="1571">
        <f t="shared" si="12"/>
        <v>100</v>
      </c>
      <c r="T37" s="1570" t="s">
        <v>8</v>
      </c>
      <c r="U37" s="1571">
        <f t="shared" si="13"/>
        <v>100</v>
      </c>
      <c r="V37" s="1570" t="s">
        <v>8</v>
      </c>
      <c r="W37" s="1571">
        <f t="shared" si="14"/>
        <v>100</v>
      </c>
      <c r="X37" s="1564"/>
      <c r="Y37" s="3463"/>
      <c r="Z37" s="1572" t="str">
        <f t="shared" si="15"/>
        <v>内部装修状况</v>
      </c>
      <c r="AA37" s="1573">
        <f t="shared" si="3"/>
        <v>1</v>
      </c>
      <c r="AB37" s="1573">
        <f t="shared" si="4"/>
        <v>1</v>
      </c>
      <c r="AC37" s="1573">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63"/>
      <c r="Q38" s="1602">
        <f t="shared" si="11"/>
        <v>111</v>
      </c>
      <c r="R38" s="1574" t="s">
        <v>8</v>
      </c>
      <c r="S38" s="1575">
        <f t="shared" si="12"/>
        <v>100</v>
      </c>
      <c r="T38" s="1574" t="s">
        <v>8</v>
      </c>
      <c r="U38" s="1575">
        <f t="shared" si="13"/>
        <v>100</v>
      </c>
      <c r="V38" s="1574" t="s">
        <v>8</v>
      </c>
      <c r="W38" s="1575">
        <f t="shared" si="14"/>
        <v>100</v>
      </c>
      <c r="X38" s="1576"/>
      <c r="Y38" s="3463"/>
      <c r="Z38" s="1577">
        <f t="shared" si="15"/>
        <v>111</v>
      </c>
      <c r="AA38" s="1573">
        <f t="shared" si="3"/>
        <v>1</v>
      </c>
      <c r="AB38" s="1573">
        <f t="shared" si="4"/>
        <v>1</v>
      </c>
      <c r="AC38" s="1573">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63"/>
      <c r="Q39" s="1569">
        <f t="shared" si="11"/>
        <v>111</v>
      </c>
      <c r="R39" s="1570" t="s">
        <v>8</v>
      </c>
      <c r="S39" s="1571">
        <f t="shared" si="12"/>
        <v>100</v>
      </c>
      <c r="T39" s="1570" t="s">
        <v>8</v>
      </c>
      <c r="U39" s="1571">
        <f t="shared" si="13"/>
        <v>100</v>
      </c>
      <c r="V39" s="1570" t="s">
        <v>8</v>
      </c>
      <c r="W39" s="1571">
        <f t="shared" si="14"/>
        <v>100</v>
      </c>
      <c r="X39" s="1564"/>
      <c r="Y39" s="3463"/>
      <c r="Z39" s="1572">
        <f t="shared" si="15"/>
        <v>111</v>
      </c>
      <c r="AA39" s="1573">
        <f t="shared" si="3"/>
        <v>1</v>
      </c>
      <c r="AB39" s="1573">
        <f t="shared" si="4"/>
        <v>1</v>
      </c>
      <c r="AC39" s="1573">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540"/>
      <c r="Q40" s="1569">
        <f t="shared" si="11"/>
        <v>111</v>
      </c>
      <c r="R40" s="1570" t="s">
        <v>8</v>
      </c>
      <c r="S40" s="1571">
        <f t="shared" si="12"/>
        <v>100</v>
      </c>
      <c r="T40" s="1570" t="s">
        <v>8</v>
      </c>
      <c r="U40" s="1571">
        <f t="shared" si="13"/>
        <v>100</v>
      </c>
      <c r="V40" s="1570" t="s">
        <v>8</v>
      </c>
      <c r="W40" s="1571">
        <f t="shared" si="14"/>
        <v>100</v>
      </c>
      <c r="X40" s="1564"/>
      <c r="Y40" s="3540"/>
      <c r="Z40" s="1572">
        <f t="shared" si="15"/>
        <v>111</v>
      </c>
      <c r="AA40" s="1573">
        <f t="shared" si="3"/>
        <v>1</v>
      </c>
      <c r="AB40" s="1573">
        <f t="shared" si="4"/>
        <v>1</v>
      </c>
      <c r="AC40" s="1573">
        <f t="shared" si="5"/>
        <v>1</v>
      </c>
    </row>
    <row r="41" spans="1:29" ht="15">
      <c r="A41" s="606" t="s">
        <v>732</v>
      </c>
      <c r="B41" s="886"/>
      <c r="C41" s="2649" t="s">
        <v>1</v>
      </c>
      <c r="D41" s="2650"/>
      <c r="E41" s="2651"/>
      <c r="F41" s="2652"/>
      <c r="G41" s="2653"/>
      <c r="H41" s="2654"/>
      <c r="I41" s="2651"/>
      <c r="J41" s="2654"/>
      <c r="K41" s="1608"/>
      <c r="L41" s="2142"/>
      <c r="M41" s="2143"/>
      <c r="N41" s="2132"/>
      <c r="O41" s="2143"/>
      <c r="P41" s="3426" t="str">
        <f>A41</f>
        <v>成交单价（元/平方米）</v>
      </c>
      <c r="Q41" s="3426"/>
      <c r="R41" s="3539">
        <f>E41</f>
        <v>0</v>
      </c>
      <c r="S41" s="3539"/>
      <c r="T41" s="3539">
        <f>G41</f>
        <v>0</v>
      </c>
      <c r="U41" s="3539"/>
      <c r="V41" s="3539">
        <f>I41</f>
        <v>0</v>
      </c>
      <c r="W41" s="3539"/>
      <c r="X41" s="1556"/>
      <c r="Y41" s="1578"/>
      <c r="Z41" s="1556"/>
      <c r="AA41" s="1556"/>
      <c r="AB41" s="1556"/>
      <c r="AC41" s="1556"/>
    </row>
    <row r="42" spans="1:29" ht="15.75" thickBot="1">
      <c r="A42" s="614" t="s">
        <v>2760</v>
      </c>
      <c r="B42" s="887"/>
      <c r="C42" s="2655" t="e">
        <f>R43</f>
        <v>#DIV/0!</v>
      </c>
      <c r="D42" s="2656"/>
      <c r="E42" s="2657" t="e">
        <f>R42</f>
        <v>#DIV/0!</v>
      </c>
      <c r="F42" s="2657"/>
      <c r="G42" s="2655" t="e">
        <f>T42</f>
        <v>#DIV/0!</v>
      </c>
      <c r="H42" s="2656"/>
      <c r="I42" s="2657" t="e">
        <f>V42</f>
        <v>#DIV/0!</v>
      </c>
      <c r="J42" s="2656"/>
      <c r="K42" s="1609"/>
      <c r="L42" s="2142"/>
      <c r="M42" s="2143"/>
      <c r="N42" s="2132"/>
      <c r="O42" s="2143"/>
      <c r="P42" s="3426" t="str">
        <f>A42</f>
        <v>比较价格（元/平方米）</v>
      </c>
      <c r="Q42" s="3426"/>
      <c r="R42" s="3539" t="e">
        <f>IF(F1="售价",ROUND(PRODUCT(R41,AA7:AA40),0),ROUND(PRODUCT(R41,AA7:AA40),1))</f>
        <v>#DIV/0!</v>
      </c>
      <c r="S42" s="3539"/>
      <c r="T42" s="3539" t="e">
        <f>IF(F1="售价",ROUND(PRODUCT(T41,AB7:AB40),0),ROUND(PRODUCT(T41,AB7:AB40),1))</f>
        <v>#DIV/0!</v>
      </c>
      <c r="U42" s="3539"/>
      <c r="V42" s="3539" t="e">
        <f>IF(F1="售价",ROUND(PRODUCT(V41,AC7:AC40),0),ROUND(PRODUCT(V41,AC7:AC40),1))</f>
        <v>#DIV/0!</v>
      </c>
      <c r="W42" s="3539"/>
      <c r="X42" s="1556"/>
      <c r="Y42" s="1556"/>
      <c r="Z42" s="1556"/>
      <c r="AA42" s="1556"/>
      <c r="AB42" s="1556"/>
      <c r="AC42" s="1556"/>
    </row>
    <row r="43" spans="1:29" ht="15.75" thickBot="1">
      <c r="A43" s="620" t="s">
        <v>2934</v>
      </c>
      <c r="B43" s="621"/>
      <c r="C43" s="2658" t="e">
        <f>R43</f>
        <v>#DIV/0!</v>
      </c>
      <c r="D43" s="2658"/>
      <c r="E43" s="2658"/>
      <c r="F43" s="2658"/>
      <c r="G43" s="2658"/>
      <c r="H43" s="2658"/>
      <c r="I43" s="2658"/>
      <c r="J43" s="2658"/>
      <c r="K43" s="1610"/>
      <c r="L43" s="2142"/>
      <c r="M43" s="2143"/>
      <c r="N43" s="2143"/>
      <c r="O43" s="2143"/>
      <c r="P43" s="3423" t="str">
        <f>A43</f>
        <v>估价对象XX用房的比较价格（楼面单价，元/平方米）</v>
      </c>
      <c r="Q43" s="3424"/>
      <c r="R43" s="3538" t="e">
        <f>IF(F1="售价",ROUND(AVERAGE(R42:V42),0),ROUND(AVERAGE(R42:V42),1))</f>
        <v>#DIV/0!</v>
      </c>
      <c r="S43" s="3538"/>
      <c r="T43" s="3538"/>
      <c r="U43" s="3538"/>
      <c r="V43" s="3538"/>
      <c r="W43" s="3538"/>
      <c r="X43" s="1556"/>
      <c r="Y43" s="1556"/>
      <c r="Z43" s="1556"/>
      <c r="AA43" s="1556"/>
      <c r="AB43" s="1556"/>
      <c r="AC43" s="1556"/>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1" t="s">
        <v>570</v>
      </c>
      <c r="B51" s="1556"/>
      <c r="C51" s="1580"/>
      <c r="D51" s="1580"/>
      <c r="E51" s="1580"/>
      <c r="F51" s="1582"/>
      <c r="G51" s="1582"/>
      <c r="H51" s="1580"/>
      <c r="I51" s="1580"/>
      <c r="J51" s="1580"/>
      <c r="K51" s="1583"/>
      <c r="L51" s="1579"/>
      <c r="M51" s="1580"/>
      <c r="N51" s="1580"/>
      <c r="O51" s="1580"/>
      <c r="P51" s="2155"/>
      <c r="Q51" s="2156"/>
      <c r="R51" s="2143"/>
      <c r="S51" s="2143"/>
      <c r="T51" s="2143"/>
      <c r="U51" s="2143"/>
      <c r="V51" s="2143"/>
      <c r="W51" s="2143"/>
      <c r="X51" s="2143"/>
      <c r="Y51" s="2143"/>
      <c r="Z51" s="2143"/>
      <c r="AA51" s="2143"/>
      <c r="AB51" s="2143"/>
      <c r="AC51" s="2143"/>
    </row>
    <row r="52" spans="1:29" s="1346" customFormat="1" ht="15">
      <c r="A52" s="644" t="s">
        <v>525</v>
      </c>
      <c r="B52" s="645"/>
      <c r="C52" s="2824" t="str">
        <f>YEAR(C7)&amp;"-"&amp;MONTH(C7)</f>
        <v>2018-5</v>
      </c>
      <c r="D52" s="2826">
        <f>EDATE(C52,-1)</f>
        <v>43191</v>
      </c>
      <c r="E52" s="2826">
        <f t="shared" ref="E52:O52" si="16">EDATE(D52,-1)</f>
        <v>43160</v>
      </c>
      <c r="F52" s="2826">
        <f t="shared" si="16"/>
        <v>43132</v>
      </c>
      <c r="G52" s="2826">
        <f t="shared" si="16"/>
        <v>43101</v>
      </c>
      <c r="H52" s="2826">
        <f t="shared" si="16"/>
        <v>43070</v>
      </c>
      <c r="I52" s="2826">
        <f t="shared" si="16"/>
        <v>43040</v>
      </c>
      <c r="J52" s="2826">
        <f t="shared" si="16"/>
        <v>43009</v>
      </c>
      <c r="K52" s="2826">
        <f t="shared" si="16"/>
        <v>42979</v>
      </c>
      <c r="L52" s="2826">
        <f t="shared" si="16"/>
        <v>42948</v>
      </c>
      <c r="M52" s="2826">
        <f t="shared" si="16"/>
        <v>42917</v>
      </c>
      <c r="N52" s="2826">
        <f t="shared" si="16"/>
        <v>42887</v>
      </c>
      <c r="O52" s="2826">
        <f t="shared" si="16"/>
        <v>42856</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571</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527</v>
      </c>
      <c r="B55" s="647"/>
      <c r="C55" s="659" t="s">
        <v>572</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573</v>
      </c>
      <c r="B57" s="664" t="s">
        <v>530</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535</v>
      </c>
      <c r="B70" s="664" t="s">
        <v>581</v>
      </c>
      <c r="C70" s="702" t="s">
        <v>575</v>
      </c>
      <c r="D70" s="702" t="s">
        <v>576</v>
      </c>
      <c r="E70" s="702" t="s">
        <v>577</v>
      </c>
      <c r="F70" s="702" t="s">
        <v>578</v>
      </c>
      <c r="G70" s="702" t="s">
        <v>579</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582</v>
      </c>
      <c r="C72" s="707" t="s">
        <v>575</v>
      </c>
      <c r="D72" s="707" t="s">
        <v>576</v>
      </c>
      <c r="E72" s="707" t="s">
        <v>577</v>
      </c>
      <c r="F72" s="707" t="s">
        <v>578</v>
      </c>
      <c r="G72" s="707" t="s">
        <v>579</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2557</v>
      </c>
      <c r="C74" s="707" t="s">
        <v>575</v>
      </c>
      <c r="D74" s="707" t="s">
        <v>576</v>
      </c>
      <c r="E74" s="707" t="s">
        <v>577</v>
      </c>
      <c r="F74" s="707" t="s">
        <v>578</v>
      </c>
      <c r="G74" s="707" t="s">
        <v>579</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619" t="s">
        <v>2558</v>
      </c>
      <c r="C76" s="2620" t="s">
        <v>2559</v>
      </c>
      <c r="D76" s="2620" t="s">
        <v>2560</v>
      </c>
      <c r="E76" s="2620" t="s">
        <v>2561</v>
      </c>
      <c r="F76" s="2620" t="s">
        <v>2562</v>
      </c>
      <c r="G76" s="2620" t="s">
        <v>2563</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780</v>
      </c>
      <c r="C78" s="707" t="s">
        <v>575</v>
      </c>
      <c r="D78" s="707" t="s">
        <v>576</v>
      </c>
      <c r="E78" s="707" t="s">
        <v>577</v>
      </c>
      <c r="F78" s="707" t="s">
        <v>578</v>
      </c>
      <c r="G78" s="707" t="s">
        <v>579</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547</v>
      </c>
      <c r="B88" s="664" t="s">
        <v>743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747</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749</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2556</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751</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787</v>
      </c>
      <c r="C106" s="707" t="s">
        <v>575</v>
      </c>
      <c r="D106" s="707" t="s">
        <v>576</v>
      </c>
      <c r="E106" s="707" t="s">
        <v>577</v>
      </c>
      <c r="F106" s="707" t="s">
        <v>578</v>
      </c>
      <c r="G106" s="707" t="s">
        <v>579</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c r="C1" s="503" t="s">
        <v>788</v>
      </c>
      <c r="D1" s="848"/>
      <c r="E1" s="505"/>
      <c r="F1" s="2829"/>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t="e">
        <f>IF(B37="元/平方米",ROUND(B3*D3/10000,0),ROUND(F3*C39/10000,0))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t="e">
        <f>IF(B37="元/平方米",C39,ROUND(B2*10000/D3,0))</f>
        <v>#DIV/0!</v>
      </c>
      <c r="C3" s="851" t="s">
        <v>792</v>
      </c>
      <c r="D3" s="850">
        <f>SUMIF('数据-汇总表'!$C19:$C33,D1,'数据-汇总表'!$E19:$E33)</f>
        <v>0</v>
      </c>
      <c r="E3" s="1846" t="s">
        <v>2075</v>
      </c>
      <c r="F3" s="850">
        <f>SUMIF('数据-取费表'!A5:A15,D1,'数据-取费表'!AH5:AH15)</f>
        <v>0</v>
      </c>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432" t="s">
        <v>794</v>
      </c>
      <c r="D4" s="3433"/>
      <c r="E4" s="3432" t="s">
        <v>795</v>
      </c>
      <c r="F4" s="3433"/>
      <c r="G4" s="3432" t="s">
        <v>796</v>
      </c>
      <c r="H4" s="3433"/>
      <c r="I4" s="3432" t="s">
        <v>797</v>
      </c>
      <c r="J4" s="3433"/>
      <c r="K4" s="513" t="s">
        <v>798</v>
      </c>
      <c r="L4" s="2131"/>
      <c r="M4" s="2132"/>
      <c r="N4" s="2132"/>
      <c r="O4" s="2132"/>
      <c r="P4" s="3434" t="s">
        <v>799</v>
      </c>
      <c r="Q4" s="3435"/>
      <c r="R4" s="3440" t="s">
        <v>795</v>
      </c>
      <c r="S4" s="3441"/>
      <c r="T4" s="3440" t="s">
        <v>796</v>
      </c>
      <c r="U4" s="3441"/>
      <c r="V4" s="3427" t="s">
        <v>797</v>
      </c>
      <c r="W4" s="3427"/>
      <c r="X4" s="1564"/>
      <c r="Y4" s="3440" t="s">
        <v>799</v>
      </c>
      <c r="Z4" s="3441"/>
      <c r="AA4" s="3429" t="s">
        <v>795</v>
      </c>
      <c r="AB4" s="3430" t="s">
        <v>796</v>
      </c>
      <c r="AC4" s="3429" t="s">
        <v>797</v>
      </c>
    </row>
    <row r="5" spans="1:29" ht="15">
      <c r="A5" s="514"/>
      <c r="B5" s="515"/>
      <c r="C5" s="3448" t="s">
        <v>2928</v>
      </c>
      <c r="D5" s="3449"/>
      <c r="E5" s="3448" t="s">
        <v>2929</v>
      </c>
      <c r="F5" s="3449"/>
      <c r="G5" s="3448" t="s">
        <v>2930</v>
      </c>
      <c r="H5" s="3449"/>
      <c r="I5" s="3448" t="s">
        <v>2931</v>
      </c>
      <c r="J5" s="3449"/>
      <c r="K5" s="513"/>
      <c r="L5" s="2131"/>
      <c r="M5" s="2132"/>
      <c r="N5" s="2132"/>
      <c r="O5" s="2132"/>
      <c r="P5" s="3436"/>
      <c r="Q5" s="3437"/>
      <c r="R5" s="3442"/>
      <c r="S5" s="3443"/>
      <c r="T5" s="3442"/>
      <c r="U5" s="3443"/>
      <c r="V5" s="3427"/>
      <c r="W5" s="3427"/>
      <c r="X5" s="1564"/>
      <c r="Y5" s="3442"/>
      <c r="Z5" s="3443"/>
      <c r="AA5" s="3430"/>
      <c r="AB5" s="3430"/>
      <c r="AC5" s="3430"/>
    </row>
    <row r="6" spans="1:29" ht="15.75" thickBot="1">
      <c r="A6" s="516"/>
      <c r="B6" s="517"/>
      <c r="C6" s="3446" t="s">
        <v>2932</v>
      </c>
      <c r="D6" s="3447"/>
      <c r="E6" s="3450" t="s">
        <v>2932</v>
      </c>
      <c r="F6" s="3451"/>
      <c r="G6" s="3446" t="s">
        <v>2932</v>
      </c>
      <c r="H6" s="3447"/>
      <c r="I6" s="3446" t="s">
        <v>2932</v>
      </c>
      <c r="J6" s="3447"/>
      <c r="K6" s="513" t="s">
        <v>524</v>
      </c>
      <c r="L6" s="2131"/>
      <c r="M6" s="2132"/>
      <c r="N6" s="2132"/>
      <c r="O6" s="2132"/>
      <c r="P6" s="3438"/>
      <c r="Q6" s="3439"/>
      <c r="R6" s="3442"/>
      <c r="S6" s="3443"/>
      <c r="T6" s="3444"/>
      <c r="U6" s="3445"/>
      <c r="V6" s="3427"/>
      <c r="W6" s="3427"/>
      <c r="X6" s="1564"/>
      <c r="Y6" s="3444"/>
      <c r="Z6" s="3445"/>
      <c r="AA6" s="3431"/>
      <c r="AB6" s="3431"/>
      <c r="AC6" s="3431"/>
    </row>
    <row r="7" spans="1:29" s="1219" customFormat="1" ht="15.75" thickBot="1">
      <c r="A7" s="2934"/>
      <c r="B7" s="2941" t="s">
        <v>525</v>
      </c>
      <c r="C7" s="518">
        <f>'数据-取费表'!B2</f>
        <v>43234</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57" t="s">
        <v>526</v>
      </c>
      <c r="Q7" s="3459"/>
      <c r="R7" s="1565" t="s">
        <v>8</v>
      </c>
      <c r="S7" s="1566">
        <f t="shared" ref="S7:S14" si="0">F7</f>
        <v>0</v>
      </c>
      <c r="T7" s="1565" t="s">
        <v>8</v>
      </c>
      <c r="U7" s="1566">
        <f t="shared" ref="U7:U14" si="1">H7</f>
        <v>0</v>
      </c>
      <c r="V7" s="1565" t="s">
        <v>8</v>
      </c>
      <c r="W7" s="1566">
        <f t="shared" ref="W7:W14" si="2">J7</f>
        <v>0</v>
      </c>
      <c r="X7" s="1567"/>
      <c r="Y7" s="3457" t="s">
        <v>526</v>
      </c>
      <c r="Z7" s="3458"/>
      <c r="AA7" s="1568" t="e">
        <f>D7/F7</f>
        <v>#DIV/0!</v>
      </c>
      <c r="AB7" s="1568" t="e">
        <f>D7/H7</f>
        <v>#DIV/0!</v>
      </c>
      <c r="AC7" s="1568" t="e">
        <f>D7/J7</f>
        <v>#DIV/0!</v>
      </c>
    </row>
    <row r="8" spans="1:29" s="1219" customFormat="1" ht="15.75" thickBot="1">
      <c r="A8" s="2935"/>
      <c r="B8" s="2942" t="s">
        <v>527</v>
      </c>
      <c r="C8" s="524" t="s">
        <v>572</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57" t="s">
        <v>529</v>
      </c>
      <c r="Q8" s="3458"/>
      <c r="R8" s="1565" t="s">
        <v>8</v>
      </c>
      <c r="S8" s="1566">
        <f t="shared" si="0"/>
        <v>0</v>
      </c>
      <c r="T8" s="1565" t="s">
        <v>8</v>
      </c>
      <c r="U8" s="1566">
        <f t="shared" si="1"/>
        <v>0</v>
      </c>
      <c r="V8" s="1565" t="s">
        <v>8</v>
      </c>
      <c r="W8" s="1566">
        <f t="shared" si="2"/>
        <v>0</v>
      </c>
      <c r="X8" s="1567"/>
      <c r="Y8" s="3457" t="s">
        <v>529</v>
      </c>
      <c r="Z8" s="3458"/>
      <c r="AA8" s="1568" t="e">
        <f t="shared" ref="AA8:AA36" si="3">D8/F8</f>
        <v>#DIV/0!</v>
      </c>
      <c r="AB8" s="1568" t="e">
        <f t="shared" ref="AB8:AB36" si="4">D8/H8</f>
        <v>#DIV/0!</v>
      </c>
      <c r="AC8" s="1568" t="e">
        <f t="shared" ref="AC8:AC36" si="5">D8/J8</f>
        <v>#DIV/0!</v>
      </c>
    </row>
    <row r="9" spans="1:29" s="1219" customFormat="1" ht="15">
      <c r="A9" s="2936"/>
      <c r="B9" s="2943" t="s">
        <v>2756</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426" t="s">
        <v>531</v>
      </c>
      <c r="Q9" s="1150" t="str">
        <f t="shared" ref="Q9:Q14" si="6">B9</f>
        <v>用途</v>
      </c>
      <c r="R9" s="1565" t="s">
        <v>8</v>
      </c>
      <c r="S9" s="1566">
        <f t="shared" si="0"/>
        <v>100</v>
      </c>
      <c r="T9" s="1565" t="s">
        <v>8</v>
      </c>
      <c r="U9" s="1566">
        <f t="shared" si="1"/>
        <v>100</v>
      </c>
      <c r="V9" s="1565" t="s">
        <v>8</v>
      </c>
      <c r="W9" s="1566">
        <f t="shared" si="2"/>
        <v>100</v>
      </c>
      <c r="X9" s="1567"/>
      <c r="Y9" s="3372" t="s">
        <v>532</v>
      </c>
      <c r="Z9" s="1149" t="str">
        <f t="shared" ref="Z9:Z14" si="7">Q9</f>
        <v>用途</v>
      </c>
      <c r="AA9" s="1568">
        <f t="shared" si="3"/>
        <v>1</v>
      </c>
      <c r="AB9" s="1568">
        <f t="shared" si="4"/>
        <v>1</v>
      </c>
      <c r="AC9" s="1568">
        <f t="shared" si="5"/>
        <v>1</v>
      </c>
    </row>
    <row r="10" spans="1:29" s="1337" customFormat="1" ht="27">
      <c r="A10" s="2937"/>
      <c r="B10" s="2942" t="s">
        <v>2757</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426"/>
      <c r="Q10" s="1150" t="str">
        <f t="shared" si="6"/>
        <v>土地使用年限（年）</v>
      </c>
      <c r="R10" s="1565" t="s">
        <v>8</v>
      </c>
      <c r="S10" s="1566">
        <f t="shared" si="0"/>
        <v>100</v>
      </c>
      <c r="T10" s="1565" t="s">
        <v>8</v>
      </c>
      <c r="U10" s="1566">
        <f t="shared" si="1"/>
        <v>100</v>
      </c>
      <c r="V10" s="1565" t="s">
        <v>8</v>
      </c>
      <c r="W10" s="1566">
        <f t="shared" si="2"/>
        <v>100</v>
      </c>
      <c r="X10" s="1567"/>
      <c r="Y10" s="3372"/>
      <c r="Z10" s="1149" t="str">
        <f t="shared" si="7"/>
        <v>土地使用年限（年）</v>
      </c>
      <c r="AA10" s="1568">
        <f t="shared" si="3"/>
        <v>1</v>
      </c>
      <c r="AB10" s="1568">
        <f t="shared" si="4"/>
        <v>1</v>
      </c>
      <c r="AC10" s="1568">
        <f t="shared" si="5"/>
        <v>1</v>
      </c>
    </row>
    <row r="11" spans="1:29" ht="15">
      <c r="A11" s="2939"/>
      <c r="B11" s="2945">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426"/>
      <c r="Q11" s="1150">
        <f t="shared" si="6"/>
        <v>111</v>
      </c>
      <c r="R11" s="1565" t="s">
        <v>8</v>
      </c>
      <c r="S11" s="1566">
        <f t="shared" si="0"/>
        <v>100</v>
      </c>
      <c r="T11" s="1565" t="s">
        <v>8</v>
      </c>
      <c r="U11" s="1566">
        <f t="shared" si="1"/>
        <v>100</v>
      </c>
      <c r="V11" s="1565" t="s">
        <v>8</v>
      </c>
      <c r="W11" s="1566">
        <f t="shared" si="2"/>
        <v>100</v>
      </c>
      <c r="X11" s="1567"/>
      <c r="Y11" s="3372"/>
      <c r="Z11" s="1149">
        <f t="shared" si="7"/>
        <v>111</v>
      </c>
      <c r="AA11" s="1568">
        <f t="shared" si="3"/>
        <v>1</v>
      </c>
      <c r="AB11" s="1568">
        <f t="shared" si="4"/>
        <v>1</v>
      </c>
      <c r="AC11" s="1568">
        <f t="shared" si="5"/>
        <v>1</v>
      </c>
    </row>
    <row r="12" spans="1:29" s="1219" customFormat="1" ht="15">
      <c r="A12" s="2939"/>
      <c r="B12" s="2945">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426"/>
      <c r="Q12" s="1150">
        <f t="shared" si="6"/>
        <v>111</v>
      </c>
      <c r="R12" s="1565" t="s">
        <v>8</v>
      </c>
      <c r="S12" s="1566">
        <f t="shared" si="0"/>
        <v>100</v>
      </c>
      <c r="T12" s="1565" t="s">
        <v>8</v>
      </c>
      <c r="U12" s="1566">
        <f t="shared" si="1"/>
        <v>100</v>
      </c>
      <c r="V12" s="1565" t="s">
        <v>8</v>
      </c>
      <c r="W12" s="1566">
        <f t="shared" si="2"/>
        <v>100</v>
      </c>
      <c r="X12" s="1567"/>
      <c r="Y12" s="3372"/>
      <c r="Z12" s="1149">
        <f t="shared" si="7"/>
        <v>111</v>
      </c>
      <c r="AA12" s="1568">
        <f>D12/F12</f>
        <v>1</v>
      </c>
      <c r="AB12" s="1568">
        <f>D12/H12</f>
        <v>1</v>
      </c>
      <c r="AC12" s="1568">
        <f>D12/J12</f>
        <v>1</v>
      </c>
    </row>
    <row r="13" spans="1:29" ht="15.75" thickBot="1">
      <c r="A13" s="2940"/>
      <c r="B13" s="2946">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426"/>
      <c r="Q13" s="1150">
        <f t="shared" si="6"/>
        <v>111</v>
      </c>
      <c r="R13" s="1565" t="s">
        <v>8</v>
      </c>
      <c r="S13" s="1566">
        <f t="shared" si="0"/>
        <v>100</v>
      </c>
      <c r="T13" s="1565" t="s">
        <v>8</v>
      </c>
      <c r="U13" s="1566">
        <f t="shared" si="1"/>
        <v>100</v>
      </c>
      <c r="V13" s="1565" t="s">
        <v>8</v>
      </c>
      <c r="W13" s="1566">
        <f t="shared" si="2"/>
        <v>100</v>
      </c>
      <c r="X13" s="1567"/>
      <c r="Y13" s="3372"/>
      <c r="Z13" s="1149">
        <f t="shared" si="7"/>
        <v>111</v>
      </c>
      <c r="AA13" s="1568">
        <f t="shared" si="3"/>
        <v>1</v>
      </c>
      <c r="AB13" s="1568">
        <f t="shared" si="4"/>
        <v>1</v>
      </c>
      <c r="AC13" s="1568">
        <f t="shared" si="5"/>
        <v>1</v>
      </c>
    </row>
    <row r="14" spans="1:29" ht="114">
      <c r="A14" s="2932" t="s">
        <v>2754</v>
      </c>
      <c r="B14" s="546" t="s">
        <v>539</v>
      </c>
      <c r="C14" s="920" t="str">
        <f>IF(B1="工业",估价对象房地状况!G4,估价对象房地状况!C6)</f>
        <v>估价对象周边道路状况、公共交通通达情况：有836、917、房12等多路公交车，停车便捷程度，综合评价交通便捷度一般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60" t="s">
        <v>536</v>
      </c>
      <c r="Q14" s="1569" t="str">
        <f t="shared" si="6"/>
        <v>交通便捷度</v>
      </c>
      <c r="R14" s="1570" t="s">
        <v>8</v>
      </c>
      <c r="S14" s="1571">
        <f t="shared" si="0"/>
        <v>100</v>
      </c>
      <c r="T14" s="1570" t="s">
        <v>8</v>
      </c>
      <c r="U14" s="1571">
        <f t="shared" si="1"/>
        <v>100</v>
      </c>
      <c r="V14" s="1570" t="s">
        <v>8</v>
      </c>
      <c r="W14" s="1571">
        <f t="shared" si="2"/>
        <v>100</v>
      </c>
      <c r="X14" s="1564"/>
      <c r="Y14" s="3460" t="s">
        <v>536</v>
      </c>
      <c r="Z14" s="1572" t="str">
        <f t="shared" si="7"/>
        <v>交通便捷度</v>
      </c>
      <c r="AA14" s="1573">
        <f t="shared" si="3"/>
        <v>1</v>
      </c>
      <c r="AB14" s="1573">
        <f t="shared" si="4"/>
        <v>1</v>
      </c>
      <c r="AC14" s="1573">
        <f t="shared" si="5"/>
        <v>1</v>
      </c>
    </row>
    <row r="15" spans="1:29" ht="15">
      <c r="A15" s="514"/>
      <c r="B15" s="923"/>
      <c r="C15" s="575"/>
      <c r="D15" s="554"/>
      <c r="E15" s="575"/>
      <c r="F15" s="556"/>
      <c r="G15" s="575"/>
      <c r="H15" s="558"/>
      <c r="I15" s="575"/>
      <c r="J15" s="554"/>
      <c r="K15" s="898"/>
      <c r="L15" s="2140"/>
      <c r="M15" s="2132"/>
      <c r="N15" s="2132"/>
      <c r="O15" s="2139"/>
      <c r="P15" s="3461"/>
      <c r="Q15" s="1569"/>
      <c r="R15" s="1570"/>
      <c r="S15" s="1571"/>
      <c r="T15" s="1570"/>
      <c r="U15" s="1571"/>
      <c r="V15" s="1570"/>
      <c r="W15" s="1571"/>
      <c r="X15" s="1564"/>
      <c r="Y15" s="3461"/>
      <c r="Z15" s="1572"/>
      <c r="AA15" s="1573">
        <v>1</v>
      </c>
      <c r="AB15" s="1573">
        <v>1</v>
      </c>
      <c r="AC15" s="1573">
        <v>1</v>
      </c>
    </row>
    <row r="16" spans="1:29" ht="42.75">
      <c r="A16" s="514"/>
      <c r="B16" s="2625" t="s">
        <v>2546</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61"/>
      <c r="Q16" s="1569" t="str">
        <f>B16</f>
        <v>公共配套设施</v>
      </c>
      <c r="R16" s="1570" t="s">
        <v>8</v>
      </c>
      <c r="S16" s="1571">
        <f>F16</f>
        <v>100</v>
      </c>
      <c r="T16" s="1570" t="s">
        <v>8</v>
      </c>
      <c r="U16" s="1571">
        <f>H16</f>
        <v>100</v>
      </c>
      <c r="V16" s="1570" t="s">
        <v>8</v>
      </c>
      <c r="W16" s="1571">
        <f>J16</f>
        <v>100</v>
      </c>
      <c r="X16" s="1564"/>
      <c r="Y16" s="3461"/>
      <c r="Z16" s="1572" t="str">
        <f>Q16</f>
        <v>公共配套设施</v>
      </c>
      <c r="AA16" s="1573">
        <f t="shared" si="3"/>
        <v>1</v>
      </c>
      <c r="AB16" s="1573">
        <f t="shared" si="4"/>
        <v>1</v>
      </c>
      <c r="AC16" s="1573">
        <f t="shared" si="5"/>
        <v>1</v>
      </c>
    </row>
    <row r="17" spans="1:29" ht="15">
      <c r="A17" s="514"/>
      <c r="B17" s="565"/>
      <c r="C17" s="872"/>
      <c r="D17" s="554"/>
      <c r="E17" s="575"/>
      <c r="F17" s="556"/>
      <c r="G17" s="575"/>
      <c r="H17" s="554"/>
      <c r="I17" s="575"/>
      <c r="J17" s="554"/>
      <c r="K17" s="898"/>
      <c r="L17" s="2140"/>
      <c r="M17" s="2132"/>
      <c r="N17" s="2132"/>
      <c r="O17" s="2139"/>
      <c r="P17" s="3461"/>
      <c r="Q17" s="1569"/>
      <c r="R17" s="1570"/>
      <c r="S17" s="1571"/>
      <c r="T17" s="1570"/>
      <c r="U17" s="1571"/>
      <c r="V17" s="1570"/>
      <c r="W17" s="1571"/>
      <c r="X17" s="1564"/>
      <c r="Y17" s="3461"/>
      <c r="Z17" s="1572"/>
      <c r="AA17" s="1573">
        <v>1</v>
      </c>
      <c r="AB17" s="1573">
        <v>1</v>
      </c>
      <c r="AC17" s="1573">
        <v>1</v>
      </c>
    </row>
    <row r="18" spans="1:29" ht="28.5">
      <c r="A18" s="514"/>
      <c r="B18" s="2613" t="s">
        <v>2558</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61"/>
      <c r="Q18" s="2601" t="str">
        <f>B18</f>
        <v>基础设施水平</v>
      </c>
      <c r="R18" s="1570" t="s">
        <v>8</v>
      </c>
      <c r="S18" s="1571">
        <f>F18</f>
        <v>100</v>
      </c>
      <c r="T18" s="1570" t="s">
        <v>8</v>
      </c>
      <c r="U18" s="1571">
        <f>H18</f>
        <v>100</v>
      </c>
      <c r="V18" s="1570" t="s">
        <v>8</v>
      </c>
      <c r="W18" s="1571">
        <f>J18</f>
        <v>100</v>
      </c>
      <c r="X18" s="2603"/>
      <c r="Y18" s="3461"/>
      <c r="Z18" s="2602" t="str">
        <f>Q18</f>
        <v>基础设施水平</v>
      </c>
      <c r="AA18" s="1573">
        <f t="shared" ref="AA18" si="8">D18/F18</f>
        <v>1</v>
      </c>
      <c r="AB18" s="1573">
        <f t="shared" ref="AB18" si="9">D18/H18</f>
        <v>1</v>
      </c>
      <c r="AC18" s="1573">
        <f t="shared" ref="AC18" si="10">D18/J18</f>
        <v>1</v>
      </c>
    </row>
    <row r="19" spans="1:29" ht="15">
      <c r="A19" s="514"/>
      <c r="B19" s="577"/>
      <c r="C19" s="872"/>
      <c r="D19" s="558"/>
      <c r="E19" s="575"/>
      <c r="F19" s="556"/>
      <c r="G19" s="575"/>
      <c r="H19" s="554"/>
      <c r="I19" s="575"/>
      <c r="J19" s="554"/>
      <c r="K19" s="2624"/>
      <c r="L19" s="2140"/>
      <c r="M19" s="2132"/>
      <c r="N19" s="2132"/>
      <c r="O19" s="2139"/>
      <c r="P19" s="3461"/>
      <c r="Q19" s="2601"/>
      <c r="R19" s="1570"/>
      <c r="S19" s="1571"/>
      <c r="T19" s="1570"/>
      <c r="U19" s="1571"/>
      <c r="V19" s="1570"/>
      <c r="W19" s="1571"/>
      <c r="X19" s="2603"/>
      <c r="Y19" s="3461"/>
      <c r="Z19" s="2602"/>
      <c r="AA19" s="1573">
        <v>1</v>
      </c>
      <c r="AB19" s="1573">
        <v>1</v>
      </c>
      <c r="AC19" s="1573">
        <v>1</v>
      </c>
    </row>
    <row r="20" spans="1:29" ht="99.75">
      <c r="A20" s="514"/>
      <c r="B20" s="559" t="s">
        <v>800</v>
      </c>
      <c r="C20" s="871" t="str">
        <f>IF(B1="工业",估价对象房地状况!G7,估价对象房地状况!C9)</f>
        <v>周边2公里区域自然环境：牛口峪公园、周口店人民公园；人文环境：北京猿人遗址；综合评价环境状况较好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61"/>
      <c r="Q20" s="1569" t="str">
        <f>B20</f>
        <v>自然及人文环境</v>
      </c>
      <c r="R20" s="1570" t="s">
        <v>8</v>
      </c>
      <c r="S20" s="1571">
        <f>F20</f>
        <v>100</v>
      </c>
      <c r="T20" s="1570" t="s">
        <v>8</v>
      </c>
      <c r="U20" s="1571">
        <f>H20</f>
        <v>100</v>
      </c>
      <c r="V20" s="1570" t="s">
        <v>8</v>
      </c>
      <c r="W20" s="1571">
        <f>J20</f>
        <v>100</v>
      </c>
      <c r="X20" s="1564"/>
      <c r="Y20" s="3461"/>
      <c r="Z20" s="1572" t="str">
        <f>Q20</f>
        <v>自然及人文环境</v>
      </c>
      <c r="AA20" s="1573">
        <f t="shared" si="3"/>
        <v>1</v>
      </c>
      <c r="AB20" s="1573">
        <f t="shared" si="4"/>
        <v>1</v>
      </c>
      <c r="AC20" s="1573">
        <f t="shared" si="5"/>
        <v>1</v>
      </c>
    </row>
    <row r="21" spans="1:29" ht="15">
      <c r="A21" s="514"/>
      <c r="B21" s="565"/>
      <c r="C21" s="575"/>
      <c r="D21" s="554"/>
      <c r="E21" s="575"/>
      <c r="F21" s="556"/>
      <c r="G21" s="575"/>
      <c r="H21" s="554"/>
      <c r="I21" s="575"/>
      <c r="J21" s="554"/>
      <c r="K21" s="898"/>
      <c r="L21" s="2140"/>
      <c r="M21" s="2132"/>
      <c r="N21" s="2132"/>
      <c r="O21" s="2139"/>
      <c r="P21" s="3461"/>
      <c r="Q21" s="1569"/>
      <c r="R21" s="1570"/>
      <c r="S21" s="1571"/>
      <c r="T21" s="1570"/>
      <c r="U21" s="1571"/>
      <c r="V21" s="1570"/>
      <c r="W21" s="1571"/>
      <c r="X21" s="1564"/>
      <c r="Y21" s="3461"/>
      <c r="Z21" s="1572"/>
      <c r="AA21" s="1573">
        <v>1</v>
      </c>
      <c r="AB21" s="1573">
        <v>1</v>
      </c>
      <c r="AC21" s="1573">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61"/>
      <c r="Q22" s="1569" t="str">
        <f>B22</f>
        <v>楼层</v>
      </c>
      <c r="R22" s="1570" t="s">
        <v>8</v>
      </c>
      <c r="S22" s="1571">
        <f>F22</f>
        <v>100</v>
      </c>
      <c r="T22" s="1570" t="s">
        <v>8</v>
      </c>
      <c r="U22" s="1571">
        <f>H22</f>
        <v>100</v>
      </c>
      <c r="V22" s="1570" t="s">
        <v>8</v>
      </c>
      <c r="W22" s="1571">
        <f>J22</f>
        <v>100</v>
      </c>
      <c r="X22" s="1564"/>
      <c r="Y22" s="3461"/>
      <c r="Z22" s="1572" t="str">
        <f>Q22</f>
        <v>楼层</v>
      </c>
      <c r="AA22" s="1573">
        <f t="shared" si="3"/>
        <v>1</v>
      </c>
      <c r="AB22" s="1573">
        <f t="shared" si="4"/>
        <v>1</v>
      </c>
      <c r="AC22" s="1573">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61"/>
      <c r="Q23" s="1569">
        <f>B23</f>
        <v>111</v>
      </c>
      <c r="R23" s="1570" t="s">
        <v>8</v>
      </c>
      <c r="S23" s="1571">
        <f>F23</f>
        <v>100</v>
      </c>
      <c r="T23" s="1570" t="s">
        <v>8</v>
      </c>
      <c r="U23" s="1571">
        <f>H23</f>
        <v>100</v>
      </c>
      <c r="V23" s="1570" t="s">
        <v>8</v>
      </c>
      <c r="W23" s="1571">
        <f>J23</f>
        <v>100</v>
      </c>
      <c r="X23" s="1564"/>
      <c r="Y23" s="3461"/>
      <c r="Z23" s="1572">
        <f>Q23</f>
        <v>111</v>
      </c>
      <c r="AA23" s="1573">
        <f t="shared" si="3"/>
        <v>1</v>
      </c>
      <c r="AB23" s="1573">
        <f t="shared" si="4"/>
        <v>1</v>
      </c>
      <c r="AC23" s="1573">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61"/>
      <c r="Q24" s="1569">
        <f t="shared" ref="Q24:Q36" si="11">B24</f>
        <v>111</v>
      </c>
      <c r="R24" s="1570" t="s">
        <v>8</v>
      </c>
      <c r="S24" s="1571">
        <f>F24</f>
        <v>100</v>
      </c>
      <c r="T24" s="1570" t="s">
        <v>8</v>
      </c>
      <c r="U24" s="1571">
        <f>H24</f>
        <v>100</v>
      </c>
      <c r="V24" s="1570" t="s">
        <v>8</v>
      </c>
      <c r="W24" s="1571">
        <f>J24</f>
        <v>100</v>
      </c>
      <c r="X24" s="1564"/>
      <c r="Y24" s="3461"/>
      <c r="Z24" s="1572">
        <f>Q24</f>
        <v>111</v>
      </c>
      <c r="AA24" s="1573">
        <f t="shared" si="3"/>
        <v>1</v>
      </c>
      <c r="AB24" s="1573">
        <f t="shared" si="4"/>
        <v>1</v>
      </c>
      <c r="AC24" s="1573">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61"/>
      <c r="Q25" s="1150">
        <f t="shared" si="11"/>
        <v>111</v>
      </c>
      <c r="R25" s="1565" t="s">
        <v>8</v>
      </c>
      <c r="S25" s="1566">
        <f>F25</f>
        <v>100</v>
      </c>
      <c r="T25" s="1565" t="s">
        <v>8</v>
      </c>
      <c r="U25" s="1566">
        <f>H25</f>
        <v>100</v>
      </c>
      <c r="V25" s="1565" t="s">
        <v>8</v>
      </c>
      <c r="W25" s="1566">
        <f>J25</f>
        <v>100</v>
      </c>
      <c r="X25" s="1567"/>
      <c r="Y25" s="3461"/>
      <c r="Z25" s="1149">
        <f>Q25</f>
        <v>111</v>
      </c>
      <c r="AA25" s="1573">
        <f>D25/F25</f>
        <v>1</v>
      </c>
      <c r="AB25" s="1573">
        <f>D25/H25</f>
        <v>1</v>
      </c>
      <c r="AC25" s="1573">
        <f>D25/J25</f>
        <v>1</v>
      </c>
    </row>
    <row r="26" spans="1:29" ht="15">
      <c r="A26" s="2929" t="s">
        <v>2755</v>
      </c>
      <c r="B26" s="170" t="s">
        <v>802</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62" t="s">
        <v>546</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63" t="s">
        <v>546</v>
      </c>
      <c r="Z26" s="1572" t="str">
        <f t="shared" ref="Z26:Z36" si="15">Q26</f>
        <v>配套类型</v>
      </c>
      <c r="AA26" s="1573">
        <f t="shared" si="3"/>
        <v>1</v>
      </c>
      <c r="AB26" s="1573">
        <f t="shared" si="4"/>
        <v>1</v>
      </c>
      <c r="AC26" s="1573">
        <f t="shared" si="5"/>
        <v>1</v>
      </c>
    </row>
    <row r="27" spans="1:29" s="1338" customFormat="1" ht="15">
      <c r="A27" s="928"/>
      <c r="B27" s="581" t="s">
        <v>803</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63"/>
      <c r="Q27" s="1602" t="str">
        <f t="shared" si="11"/>
        <v>项目停车位配比</v>
      </c>
      <c r="R27" s="1574" t="s">
        <v>8</v>
      </c>
      <c r="S27" s="1575">
        <f t="shared" si="12"/>
        <v>100</v>
      </c>
      <c r="T27" s="1574" t="s">
        <v>8</v>
      </c>
      <c r="U27" s="1575">
        <f t="shared" si="13"/>
        <v>100</v>
      </c>
      <c r="V27" s="1574" t="s">
        <v>8</v>
      </c>
      <c r="W27" s="1575">
        <f t="shared" si="14"/>
        <v>100</v>
      </c>
      <c r="X27" s="1576"/>
      <c r="Y27" s="3463"/>
      <c r="Z27" s="1577" t="str">
        <f t="shared" si="15"/>
        <v>项目停车位配比</v>
      </c>
      <c r="AA27" s="1573">
        <f t="shared" si="3"/>
        <v>1</v>
      </c>
      <c r="AB27" s="1573">
        <f t="shared" si="4"/>
        <v>1</v>
      </c>
      <c r="AC27" s="1573">
        <f t="shared" si="5"/>
        <v>1</v>
      </c>
    </row>
    <row r="28" spans="1:29" ht="15">
      <c r="A28" s="930"/>
      <c r="B28" s="581" t="s">
        <v>804</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63"/>
      <c r="Q28" s="1569" t="str">
        <f t="shared" si="11"/>
        <v>公共部分装修</v>
      </c>
      <c r="R28" s="1570" t="s">
        <v>8</v>
      </c>
      <c r="S28" s="1571">
        <f t="shared" si="12"/>
        <v>100</v>
      </c>
      <c r="T28" s="1570" t="s">
        <v>8</v>
      </c>
      <c r="U28" s="1571">
        <f t="shared" si="13"/>
        <v>100</v>
      </c>
      <c r="V28" s="1570" t="s">
        <v>8</v>
      </c>
      <c r="W28" s="1571">
        <f t="shared" si="14"/>
        <v>100</v>
      </c>
      <c r="X28" s="1564"/>
      <c r="Y28" s="3463"/>
      <c r="Z28" s="1572" t="str">
        <f t="shared" si="15"/>
        <v>公共部分装修</v>
      </c>
      <c r="AA28" s="1573">
        <f t="shared" si="3"/>
        <v>1</v>
      </c>
      <c r="AB28" s="1573">
        <f t="shared" si="4"/>
        <v>1</v>
      </c>
      <c r="AC28" s="1573">
        <f t="shared" si="5"/>
        <v>1</v>
      </c>
    </row>
    <row r="29" spans="1:29" ht="15">
      <c r="A29" s="930"/>
      <c r="B29" s="581" t="s">
        <v>805</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63"/>
      <c r="Q29" s="1569" t="str">
        <f t="shared" si="11"/>
        <v>成新率</v>
      </c>
      <c r="R29" s="1570" t="s">
        <v>8</v>
      </c>
      <c r="S29" s="1571" t="e">
        <f t="shared" si="12"/>
        <v>#N/A</v>
      </c>
      <c r="T29" s="1570" t="s">
        <v>8</v>
      </c>
      <c r="U29" s="1571" t="e">
        <f t="shared" si="13"/>
        <v>#N/A</v>
      </c>
      <c r="V29" s="1570" t="s">
        <v>8</v>
      </c>
      <c r="W29" s="1571" t="e">
        <f t="shared" si="14"/>
        <v>#N/A</v>
      </c>
      <c r="X29" s="1564"/>
      <c r="Y29" s="3463"/>
      <c r="Z29" s="1572" t="str">
        <f t="shared" si="15"/>
        <v>成新率</v>
      </c>
      <c r="AA29" s="1573" t="e">
        <f t="shared" si="3"/>
        <v>#N/A</v>
      </c>
      <c r="AB29" s="1573" t="e">
        <f t="shared" si="4"/>
        <v>#N/A</v>
      </c>
      <c r="AC29" s="1573" t="e">
        <f t="shared" si="5"/>
        <v>#N/A</v>
      </c>
    </row>
    <row r="30" spans="1:29" ht="15">
      <c r="A30" s="930"/>
      <c r="B30" s="581" t="s">
        <v>806</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63"/>
      <c r="Q30" s="1569" t="str">
        <f t="shared" si="11"/>
        <v>物业等级</v>
      </c>
      <c r="R30" s="1570" t="s">
        <v>8</v>
      </c>
      <c r="S30" s="1571">
        <f t="shared" si="12"/>
        <v>100</v>
      </c>
      <c r="T30" s="1570" t="s">
        <v>8</v>
      </c>
      <c r="U30" s="1571">
        <f t="shared" si="13"/>
        <v>100</v>
      </c>
      <c r="V30" s="1570" t="s">
        <v>8</v>
      </c>
      <c r="W30" s="1571">
        <f t="shared" si="14"/>
        <v>100</v>
      </c>
      <c r="X30" s="1564"/>
      <c r="Y30" s="3463"/>
      <c r="Z30" s="1572" t="str">
        <f t="shared" si="15"/>
        <v>物业等级</v>
      </c>
      <c r="AA30" s="1573">
        <f t="shared" si="3"/>
        <v>1</v>
      </c>
      <c r="AB30" s="1573">
        <f t="shared" si="4"/>
        <v>1</v>
      </c>
      <c r="AC30" s="1573">
        <f t="shared" si="5"/>
        <v>1</v>
      </c>
    </row>
    <row r="31" spans="1:29" s="1219" customFormat="1" ht="15">
      <c r="A31" s="932"/>
      <c r="B31" s="581" t="s">
        <v>807</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63"/>
      <c r="Q31" s="1150" t="str">
        <f t="shared" si="11"/>
        <v>停车位面积</v>
      </c>
      <c r="R31" s="1565" t="s">
        <v>8</v>
      </c>
      <c r="S31" s="1566" t="e">
        <f t="shared" si="12"/>
        <v>#N/A</v>
      </c>
      <c r="T31" s="1565" t="s">
        <v>8</v>
      </c>
      <c r="U31" s="1566" t="e">
        <f t="shared" si="13"/>
        <v>#N/A</v>
      </c>
      <c r="V31" s="1565" t="s">
        <v>8</v>
      </c>
      <c r="W31" s="1566" t="e">
        <f t="shared" si="14"/>
        <v>#N/A</v>
      </c>
      <c r="X31" s="1567"/>
      <c r="Y31" s="3463"/>
      <c r="Z31" s="1149" t="str">
        <f t="shared" si="15"/>
        <v>停车位面积</v>
      </c>
      <c r="AA31" s="1568" t="e">
        <f t="shared" si="3"/>
        <v>#N/A</v>
      </c>
      <c r="AB31" s="1568" t="e">
        <f t="shared" si="4"/>
        <v>#N/A</v>
      </c>
      <c r="AC31" s="1568" t="e">
        <f t="shared" si="5"/>
        <v>#N/A</v>
      </c>
    </row>
    <row r="32" spans="1:29" ht="15">
      <c r="A32" s="930"/>
      <c r="B32" s="581" t="s">
        <v>808</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63" t="s">
        <v>546</v>
      </c>
      <c r="Q32" s="1569" t="str">
        <f t="shared" si="11"/>
        <v>车位类型</v>
      </c>
      <c r="R32" s="1570" t="s">
        <v>8</v>
      </c>
      <c r="S32" s="1571">
        <f t="shared" si="12"/>
        <v>100</v>
      </c>
      <c r="T32" s="1570" t="s">
        <v>8</v>
      </c>
      <c r="U32" s="1571">
        <f t="shared" si="13"/>
        <v>100</v>
      </c>
      <c r="V32" s="1570" t="s">
        <v>8</v>
      </c>
      <c r="W32" s="1571">
        <f t="shared" si="14"/>
        <v>100</v>
      </c>
      <c r="X32" s="1564"/>
      <c r="Y32" s="3463" t="s">
        <v>546</v>
      </c>
      <c r="Z32" s="1572" t="str">
        <f t="shared" si="15"/>
        <v>车位类型</v>
      </c>
      <c r="AA32" s="1573">
        <f t="shared" si="3"/>
        <v>1</v>
      </c>
      <c r="AB32" s="1573">
        <f t="shared" si="4"/>
        <v>1</v>
      </c>
      <c r="AC32" s="1573">
        <f t="shared" si="5"/>
        <v>1</v>
      </c>
    </row>
    <row r="33" spans="1:29" ht="15">
      <c r="A33" s="930"/>
      <c r="B33" s="581" t="s">
        <v>809</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63"/>
      <c r="Q33" s="1569" t="str">
        <f t="shared" si="11"/>
        <v>是否直接入户</v>
      </c>
      <c r="R33" s="1570" t="s">
        <v>8</v>
      </c>
      <c r="S33" s="1571">
        <f t="shared" si="12"/>
        <v>100</v>
      </c>
      <c r="T33" s="1570" t="s">
        <v>8</v>
      </c>
      <c r="U33" s="1571">
        <f t="shared" si="13"/>
        <v>100</v>
      </c>
      <c r="V33" s="1570" t="s">
        <v>8</v>
      </c>
      <c r="W33" s="1571">
        <f t="shared" si="14"/>
        <v>100</v>
      </c>
      <c r="X33" s="1564"/>
      <c r="Y33" s="3463"/>
      <c r="Z33" s="1572" t="str">
        <f t="shared" si="15"/>
        <v>是否直接入户</v>
      </c>
      <c r="AA33" s="1573">
        <f t="shared" si="3"/>
        <v>1</v>
      </c>
      <c r="AB33" s="1573">
        <f t="shared" si="4"/>
        <v>1</v>
      </c>
      <c r="AC33" s="1573">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63"/>
      <c r="Q34" s="1569">
        <f t="shared" si="11"/>
        <v>111</v>
      </c>
      <c r="R34" s="1570" t="s">
        <v>8</v>
      </c>
      <c r="S34" s="1571">
        <f t="shared" si="12"/>
        <v>100</v>
      </c>
      <c r="T34" s="1570" t="s">
        <v>8</v>
      </c>
      <c r="U34" s="1571">
        <f t="shared" si="13"/>
        <v>100</v>
      </c>
      <c r="V34" s="1570" t="s">
        <v>8</v>
      </c>
      <c r="W34" s="1571">
        <f t="shared" si="14"/>
        <v>100</v>
      </c>
      <c r="X34" s="1564"/>
      <c r="Y34" s="3463"/>
      <c r="Z34" s="1572">
        <f t="shared" si="15"/>
        <v>111</v>
      </c>
      <c r="AA34" s="1573">
        <f t="shared" si="3"/>
        <v>1</v>
      </c>
      <c r="AB34" s="1573">
        <f t="shared" si="4"/>
        <v>1</v>
      </c>
      <c r="AC34" s="1573">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63"/>
      <c r="Q35" s="1602">
        <f t="shared" si="11"/>
        <v>111</v>
      </c>
      <c r="R35" s="1574" t="s">
        <v>8</v>
      </c>
      <c r="S35" s="1575">
        <f t="shared" si="12"/>
        <v>100</v>
      </c>
      <c r="T35" s="1574" t="s">
        <v>8</v>
      </c>
      <c r="U35" s="1575">
        <f t="shared" si="13"/>
        <v>100</v>
      </c>
      <c r="V35" s="1574" t="s">
        <v>8</v>
      </c>
      <c r="W35" s="1575">
        <f t="shared" si="14"/>
        <v>100</v>
      </c>
      <c r="X35" s="1576"/>
      <c r="Y35" s="3463"/>
      <c r="Z35" s="1577">
        <f t="shared" si="15"/>
        <v>111</v>
      </c>
      <c r="AA35" s="1573">
        <f t="shared" si="3"/>
        <v>1</v>
      </c>
      <c r="AB35" s="1573">
        <f t="shared" si="4"/>
        <v>1</v>
      </c>
      <c r="AC35" s="1573">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63"/>
      <c r="Q36" s="1569">
        <f t="shared" si="11"/>
        <v>111</v>
      </c>
      <c r="R36" s="1570" t="s">
        <v>8</v>
      </c>
      <c r="S36" s="1571">
        <f t="shared" si="12"/>
        <v>100</v>
      </c>
      <c r="T36" s="1570" t="s">
        <v>8</v>
      </c>
      <c r="U36" s="1571">
        <f t="shared" si="13"/>
        <v>100</v>
      </c>
      <c r="V36" s="1570" t="s">
        <v>8</v>
      </c>
      <c r="W36" s="1571">
        <f t="shared" si="14"/>
        <v>100</v>
      </c>
      <c r="X36" s="1564"/>
      <c r="Y36" s="3463"/>
      <c r="Z36" s="1572">
        <f t="shared" si="15"/>
        <v>111</v>
      </c>
      <c r="AA36" s="1573">
        <f t="shared" si="3"/>
        <v>1</v>
      </c>
      <c r="AB36" s="1573">
        <f t="shared" si="4"/>
        <v>1</v>
      </c>
      <c r="AC36" s="1573">
        <f t="shared" si="5"/>
        <v>1</v>
      </c>
    </row>
    <row r="37" spans="1:29" ht="15">
      <c r="A37" s="1844" t="s">
        <v>2076</v>
      </c>
      <c r="B37" s="1845" t="s">
        <v>2077</v>
      </c>
      <c r="C37" s="2649" t="s">
        <v>1</v>
      </c>
      <c r="D37" s="2650"/>
      <c r="E37" s="2651"/>
      <c r="F37" s="2652"/>
      <c r="G37" s="2653"/>
      <c r="H37" s="2654"/>
      <c r="I37" s="2651"/>
      <c r="J37" s="2654"/>
      <c r="K37" s="1608"/>
      <c r="L37" s="2142"/>
      <c r="M37" s="2143"/>
      <c r="N37" s="2132"/>
      <c r="O37" s="2143"/>
      <c r="P37" s="3426" t="str">
        <f>A37</f>
        <v>成交单价</v>
      </c>
      <c r="Q37" s="3426"/>
      <c r="R37" s="3539">
        <f>E37</f>
        <v>0</v>
      </c>
      <c r="S37" s="3539"/>
      <c r="T37" s="3539">
        <f>G37</f>
        <v>0</v>
      </c>
      <c r="U37" s="3539"/>
      <c r="V37" s="3539">
        <f>I37</f>
        <v>0</v>
      </c>
      <c r="W37" s="3539"/>
      <c r="X37" s="1556"/>
      <c r="Y37" s="1578"/>
      <c r="Z37" s="1556"/>
      <c r="AA37" s="1556"/>
      <c r="AB37" s="1556"/>
      <c r="AC37" s="1556"/>
    </row>
    <row r="38" spans="1:29" ht="15.75" thickBot="1">
      <c r="A38" s="614" t="s">
        <v>2760</v>
      </c>
      <c r="B38" s="887"/>
      <c r="C38" s="2655" t="e">
        <f>R39</f>
        <v>#DIV/0!</v>
      </c>
      <c r="D38" s="2656"/>
      <c r="E38" s="2657" t="e">
        <f>R38</f>
        <v>#DIV/0!</v>
      </c>
      <c r="F38" s="2657"/>
      <c r="G38" s="2655" t="e">
        <f>T38</f>
        <v>#DIV/0!</v>
      </c>
      <c r="H38" s="2656"/>
      <c r="I38" s="2657" t="e">
        <f>V38</f>
        <v>#DIV/0!</v>
      </c>
      <c r="J38" s="2656"/>
      <c r="K38" s="1609"/>
      <c r="L38" s="2142"/>
      <c r="M38" s="2143"/>
      <c r="N38" s="2143"/>
      <c r="O38" s="2143"/>
      <c r="P38" s="3426" t="str">
        <f>A38</f>
        <v>比较价格（元/平方米）</v>
      </c>
      <c r="Q38" s="3426"/>
      <c r="R38" s="3539" t="e">
        <f>IF(F1="售价",ROUND(PRODUCT(R37,AA7:AA36),0),ROUND(PRODUCT(R37,AA7:AA36),1))</f>
        <v>#DIV/0!</v>
      </c>
      <c r="S38" s="3539"/>
      <c r="T38" s="3539" t="e">
        <f>IF(F1="售价",ROUND(PRODUCT(T37,AB7:AB36),0),ROUND(PRODUCT(T37,AB7:AB36),1))</f>
        <v>#DIV/0!</v>
      </c>
      <c r="U38" s="3539"/>
      <c r="V38" s="3539" t="e">
        <f>IF(F1="售价",ROUND(PRODUCT(V37,AC7:AC36),0),ROUND(PRODUCT(V37,AC7:AC36),1))</f>
        <v>#DIV/0!</v>
      </c>
      <c r="W38" s="3539"/>
      <c r="X38" s="1556"/>
      <c r="Y38" s="1556"/>
      <c r="Z38" s="1556"/>
      <c r="AA38" s="1556"/>
      <c r="AB38" s="1556"/>
      <c r="AC38" s="1556"/>
    </row>
    <row r="39" spans="1:29" ht="15.75" thickBot="1">
      <c r="A39" s="620" t="s">
        <v>2934</v>
      </c>
      <c r="B39" s="621"/>
      <c r="C39" s="2658" t="e">
        <f>R39</f>
        <v>#DIV/0!</v>
      </c>
      <c r="D39" s="2658"/>
      <c r="E39" s="2658"/>
      <c r="F39" s="2658"/>
      <c r="G39" s="2658"/>
      <c r="H39" s="2658"/>
      <c r="I39" s="2658"/>
      <c r="J39" s="2658"/>
      <c r="K39" s="1610"/>
      <c r="L39" s="2142"/>
      <c r="M39" s="2143"/>
      <c r="N39" s="2143"/>
      <c r="O39" s="2143"/>
      <c r="P39" s="3423" t="str">
        <f>A39</f>
        <v>估价对象XX用房的比较价格（楼面单价，元/平方米）</v>
      </c>
      <c r="Q39" s="3424"/>
      <c r="R39" s="3538" t="e">
        <f>IF(F1="售价",ROUND(AVERAGE(R38:V38),0),ROUND(AVERAGE(R38:V38),1))</f>
        <v>#DIV/0!</v>
      </c>
      <c r="S39" s="3538"/>
      <c r="T39" s="3538"/>
      <c r="U39" s="3538"/>
      <c r="V39" s="3538"/>
      <c r="W39" s="3538"/>
      <c r="X39" s="1556"/>
      <c r="Y39" s="1556"/>
      <c r="Z39" s="1556"/>
      <c r="AA39" s="1556"/>
      <c r="AB39" s="1556"/>
      <c r="AC39" s="1556"/>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553</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554</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555</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1" t="s">
        <v>570</v>
      </c>
      <c r="B47" s="1556"/>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525</v>
      </c>
      <c r="B48" s="645"/>
      <c r="C48" s="2824" t="str">
        <f>YEAR(C7)&amp;"-"&amp;MONTH(C7)</f>
        <v>2018-5</v>
      </c>
      <c r="D48" s="2826">
        <f>EDATE(C48,-1)</f>
        <v>43191</v>
      </c>
      <c r="E48" s="2826">
        <f t="shared" ref="E48:O48" si="16">EDATE(D48,-1)</f>
        <v>43160</v>
      </c>
      <c r="F48" s="2826">
        <f t="shared" si="16"/>
        <v>43132</v>
      </c>
      <c r="G48" s="2826">
        <f t="shared" si="16"/>
        <v>43101</v>
      </c>
      <c r="H48" s="2826">
        <f t="shared" si="16"/>
        <v>43070</v>
      </c>
      <c r="I48" s="2826">
        <f t="shared" si="16"/>
        <v>43040</v>
      </c>
      <c r="J48" s="2826">
        <f t="shared" si="16"/>
        <v>43009</v>
      </c>
      <c r="K48" s="2826">
        <f t="shared" si="16"/>
        <v>42979</v>
      </c>
      <c r="L48" s="2826">
        <f t="shared" si="16"/>
        <v>42948</v>
      </c>
      <c r="M48" s="2826">
        <f t="shared" si="16"/>
        <v>42917</v>
      </c>
      <c r="N48" s="2826">
        <f t="shared" si="16"/>
        <v>42887</v>
      </c>
      <c r="O48" s="2826">
        <f t="shared" si="16"/>
        <v>42856</v>
      </c>
      <c r="P48" s="2158"/>
      <c r="Q48" s="2159"/>
      <c r="R48" s="2159"/>
      <c r="S48" s="2159"/>
      <c r="T48" s="2159"/>
      <c r="U48" s="2159"/>
      <c r="V48" s="2159"/>
      <c r="W48" s="2159"/>
      <c r="X48" s="2159"/>
      <c r="Y48" s="2159"/>
      <c r="Z48" s="2159"/>
      <c r="AA48" s="2159"/>
      <c r="AB48" s="2159"/>
      <c r="AC48" s="2159"/>
    </row>
    <row r="49" spans="1:29" s="1219" customFormat="1" ht="15">
      <c r="A49" s="646"/>
      <c r="B49" s="647"/>
      <c r="C49" s="2825">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571</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527</v>
      </c>
      <c r="B51" s="647"/>
      <c r="C51" s="659" t="s">
        <v>572</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573</v>
      </c>
      <c r="B53" s="664" t="s">
        <v>530</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2557</v>
      </c>
      <c r="C65" s="707" t="s">
        <v>575</v>
      </c>
      <c r="D65" s="707" t="s">
        <v>576</v>
      </c>
      <c r="E65" s="707" t="s">
        <v>577</v>
      </c>
      <c r="F65" s="707" t="s">
        <v>578</v>
      </c>
      <c r="G65" s="707" t="s">
        <v>579</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619" t="s">
        <v>2558</v>
      </c>
      <c r="C67" s="2620" t="s">
        <v>2559</v>
      </c>
      <c r="D67" s="2620" t="s">
        <v>2560</v>
      </c>
      <c r="E67" s="2620" t="s">
        <v>2561</v>
      </c>
      <c r="F67" s="2620" t="s">
        <v>2562</v>
      </c>
      <c r="G67" s="2620" t="s">
        <v>2563</v>
      </c>
      <c r="H67" s="673"/>
      <c r="I67" s="673"/>
      <c r="J67" s="673"/>
      <c r="K67" s="673"/>
      <c r="L67" s="673"/>
      <c r="M67" s="2623"/>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740</v>
      </c>
      <c r="C69" s="707" t="s">
        <v>575</v>
      </c>
      <c r="D69" s="707" t="s">
        <v>576</v>
      </c>
      <c r="E69" s="707" t="s">
        <v>577</v>
      </c>
      <c r="F69" s="707" t="s">
        <v>578</v>
      </c>
      <c r="G69" s="707" t="s">
        <v>579</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741</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547</v>
      </c>
      <c r="B79" s="664" t="s">
        <v>810</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811</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747</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813</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814</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815</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816</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714</v>
      </c>
      <c r="B1" s="922"/>
      <c r="C1" s="503" t="s">
        <v>788</v>
      </c>
      <c r="D1" s="848"/>
      <c r="E1" s="505"/>
      <c r="F1" s="2829"/>
      <c r="G1" s="1598" t="s">
        <v>789</v>
      </c>
      <c r="H1" s="505"/>
      <c r="I1" s="505"/>
      <c r="J1" s="505"/>
      <c r="K1" s="506"/>
      <c r="L1" s="1559"/>
      <c r="M1" s="1560"/>
      <c r="N1" s="1560"/>
      <c r="O1" s="1560"/>
      <c r="P1" s="1561"/>
      <c r="Q1" s="1561"/>
      <c r="R1" s="1561"/>
      <c r="S1" s="1561"/>
      <c r="T1" s="1561"/>
      <c r="U1" s="1561"/>
      <c r="V1" s="1561"/>
      <c r="W1" s="1561"/>
      <c r="X1" s="1561"/>
      <c r="Y1" s="1561"/>
      <c r="Z1" s="1561"/>
      <c r="AA1" s="1561"/>
      <c r="AB1" s="1561"/>
      <c r="AC1" s="1562"/>
    </row>
    <row r="2" spans="1:29" s="1335" customFormat="1" ht="28.5" customHeight="1">
      <c r="A2" s="422" t="s">
        <v>790</v>
      </c>
      <c r="B2" s="849" t="e">
        <f>ROUND(B3*D3/10000,0)</f>
        <v>#DIV/0!</v>
      </c>
      <c r="C2" s="2125"/>
      <c r="D2" s="2125"/>
      <c r="E2" s="2126"/>
      <c r="F2" s="2127"/>
      <c r="G2" s="2126"/>
      <c r="H2" s="2126"/>
      <c r="I2" s="2126"/>
      <c r="J2" s="2126"/>
      <c r="K2" s="2128"/>
      <c r="L2" s="2129"/>
      <c r="M2" s="2130"/>
      <c r="N2" s="2130"/>
      <c r="O2" s="2130"/>
      <c r="P2" s="1561"/>
      <c r="Q2" s="1561"/>
      <c r="R2" s="1561"/>
      <c r="S2" s="1561"/>
      <c r="T2" s="1561"/>
      <c r="U2" s="1561"/>
      <c r="V2" s="1561"/>
      <c r="W2" s="1561"/>
      <c r="X2" s="1561"/>
      <c r="Y2" s="1561"/>
      <c r="Z2" s="1561"/>
      <c r="AA2" s="1561"/>
      <c r="AB2" s="1561"/>
      <c r="AC2" s="1562"/>
    </row>
    <row r="3" spans="1:29" s="1335" customFormat="1" ht="28.5" customHeight="1" thickBot="1">
      <c r="A3" s="508" t="s">
        <v>791</v>
      </c>
      <c r="B3" s="509" t="e">
        <f>C37</f>
        <v>#DIV/0!</v>
      </c>
      <c r="C3" s="851" t="s">
        <v>792</v>
      </c>
      <c r="D3" s="850">
        <f>SUMIF('数据-汇总表'!$C19:$C33,D1,'数据-汇总表'!$E19:$E33)</f>
        <v>0</v>
      </c>
      <c r="E3" s="2126"/>
      <c r="F3" s="2127"/>
      <c r="G3" s="2126"/>
      <c r="H3" s="2126"/>
      <c r="I3" s="2126"/>
      <c r="J3" s="2126"/>
      <c r="K3" s="2128"/>
      <c r="L3" s="2129"/>
      <c r="M3" s="2130"/>
      <c r="N3" s="2130"/>
      <c r="O3" s="2130"/>
      <c r="P3" s="1561"/>
      <c r="Q3" s="1561"/>
      <c r="R3" s="1561"/>
      <c r="S3" s="1561"/>
      <c r="T3" s="1561"/>
      <c r="U3" s="1561"/>
      <c r="V3" s="1561"/>
      <c r="W3" s="1561"/>
      <c r="X3" s="1561"/>
      <c r="Y3" s="1561"/>
      <c r="Z3" s="1561"/>
      <c r="AA3" s="1561"/>
      <c r="AB3" s="1563"/>
      <c r="AC3" s="427"/>
    </row>
    <row r="4" spans="1:29" ht="15">
      <c r="A4" s="511" t="s">
        <v>793</v>
      </c>
      <c r="B4" s="512"/>
      <c r="C4" s="3432" t="s">
        <v>794</v>
      </c>
      <c r="D4" s="3433"/>
      <c r="E4" s="3466" t="s">
        <v>795</v>
      </c>
      <c r="F4" s="3467"/>
      <c r="G4" s="3432" t="s">
        <v>796</v>
      </c>
      <c r="H4" s="3433"/>
      <c r="I4" s="3432" t="s">
        <v>797</v>
      </c>
      <c r="J4" s="3433"/>
      <c r="K4" s="513" t="s">
        <v>798</v>
      </c>
      <c r="L4" s="2131"/>
      <c r="M4" s="2132"/>
      <c r="N4" s="2132"/>
      <c r="O4" s="2132"/>
      <c r="P4" s="3434" t="s">
        <v>799</v>
      </c>
      <c r="Q4" s="3435"/>
      <c r="R4" s="3440" t="s">
        <v>795</v>
      </c>
      <c r="S4" s="3441"/>
      <c r="T4" s="3440" t="s">
        <v>796</v>
      </c>
      <c r="U4" s="3441"/>
      <c r="V4" s="3427" t="s">
        <v>797</v>
      </c>
      <c r="W4" s="3427"/>
      <c r="X4" s="1564"/>
      <c r="Y4" s="3440" t="s">
        <v>799</v>
      </c>
      <c r="Z4" s="3441"/>
      <c r="AA4" s="3429" t="s">
        <v>795</v>
      </c>
      <c r="AB4" s="3430" t="s">
        <v>796</v>
      </c>
      <c r="AC4" s="3429" t="s">
        <v>797</v>
      </c>
    </row>
    <row r="5" spans="1:29" ht="15">
      <c r="A5" s="514"/>
      <c r="B5" s="515"/>
      <c r="C5" s="3448" t="s">
        <v>2928</v>
      </c>
      <c r="D5" s="3449"/>
      <c r="E5" s="3468" t="s">
        <v>2929</v>
      </c>
      <c r="F5" s="3469"/>
      <c r="G5" s="3448" t="s">
        <v>2930</v>
      </c>
      <c r="H5" s="3449"/>
      <c r="I5" s="3448" t="s">
        <v>2931</v>
      </c>
      <c r="J5" s="3449"/>
      <c r="K5" s="513"/>
      <c r="L5" s="2131"/>
      <c r="M5" s="2132"/>
      <c r="N5" s="2132"/>
      <c r="O5" s="2132"/>
      <c r="P5" s="3436"/>
      <c r="Q5" s="3437"/>
      <c r="R5" s="3442"/>
      <c r="S5" s="3443"/>
      <c r="T5" s="3442"/>
      <c r="U5" s="3443"/>
      <c r="V5" s="3427"/>
      <c r="W5" s="3427"/>
      <c r="X5" s="1564"/>
      <c r="Y5" s="3442"/>
      <c r="Z5" s="3443"/>
      <c r="AA5" s="3430"/>
      <c r="AB5" s="3430"/>
      <c r="AC5" s="3430"/>
    </row>
    <row r="6" spans="1:29" ht="15.75" thickBot="1">
      <c r="A6" s="516"/>
      <c r="B6" s="517"/>
      <c r="C6" s="3446" t="s">
        <v>2932</v>
      </c>
      <c r="D6" s="3447"/>
      <c r="E6" s="3464" t="s">
        <v>2932</v>
      </c>
      <c r="F6" s="3465"/>
      <c r="G6" s="3446" t="s">
        <v>2932</v>
      </c>
      <c r="H6" s="3447"/>
      <c r="I6" s="3446" t="s">
        <v>2932</v>
      </c>
      <c r="J6" s="3447"/>
      <c r="K6" s="513" t="s">
        <v>524</v>
      </c>
      <c r="L6" s="2131"/>
      <c r="M6" s="2132"/>
      <c r="N6" s="2132"/>
      <c r="O6" s="2132"/>
      <c r="P6" s="3438"/>
      <c r="Q6" s="3439"/>
      <c r="R6" s="3442"/>
      <c r="S6" s="3443"/>
      <c r="T6" s="3444"/>
      <c r="U6" s="3445"/>
      <c r="V6" s="3427"/>
      <c r="W6" s="3427"/>
      <c r="X6" s="1564"/>
      <c r="Y6" s="3444"/>
      <c r="Z6" s="3445"/>
      <c r="AA6" s="3431"/>
      <c r="AB6" s="3431"/>
      <c r="AC6" s="3431"/>
    </row>
    <row r="7" spans="1:29" s="1219" customFormat="1" ht="15.75" thickBot="1">
      <c r="A7" s="2934"/>
      <c r="B7" s="2941" t="s">
        <v>525</v>
      </c>
      <c r="C7" s="518">
        <f>'数据-取费表'!B2</f>
        <v>43234</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57" t="s">
        <v>526</v>
      </c>
      <c r="Q7" s="3459"/>
      <c r="R7" s="1565" t="s">
        <v>8</v>
      </c>
      <c r="S7" s="1566">
        <f t="shared" ref="S7:S14" si="0">F7</f>
        <v>0</v>
      </c>
      <c r="T7" s="1565" t="s">
        <v>8</v>
      </c>
      <c r="U7" s="1566">
        <f t="shared" ref="U7:U14" si="1">H7</f>
        <v>0</v>
      </c>
      <c r="V7" s="1565" t="s">
        <v>8</v>
      </c>
      <c r="W7" s="1566">
        <f t="shared" ref="W7:W14" si="2">J7</f>
        <v>0</v>
      </c>
      <c r="X7" s="1567"/>
      <c r="Y7" s="3457" t="s">
        <v>526</v>
      </c>
      <c r="Z7" s="3458"/>
      <c r="AA7" s="1568" t="e">
        <f>D7/F7</f>
        <v>#DIV/0!</v>
      </c>
      <c r="AB7" s="1568" t="e">
        <f>D7/H7</f>
        <v>#DIV/0!</v>
      </c>
      <c r="AC7" s="1568" t="e">
        <f>D7/J7</f>
        <v>#DIV/0!</v>
      </c>
    </row>
    <row r="8" spans="1:29" s="1219" customFormat="1" ht="15.75" thickBot="1">
      <c r="A8" s="2935"/>
      <c r="B8" s="2942" t="s">
        <v>527</v>
      </c>
      <c r="C8" s="524" t="s">
        <v>572</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57" t="s">
        <v>529</v>
      </c>
      <c r="Q8" s="3458"/>
      <c r="R8" s="1565" t="s">
        <v>8</v>
      </c>
      <c r="S8" s="1566">
        <f t="shared" si="0"/>
        <v>0</v>
      </c>
      <c r="T8" s="1565" t="s">
        <v>8</v>
      </c>
      <c r="U8" s="1566">
        <f t="shared" si="1"/>
        <v>0</v>
      </c>
      <c r="V8" s="1565" t="s">
        <v>8</v>
      </c>
      <c r="W8" s="1566">
        <f t="shared" si="2"/>
        <v>0</v>
      </c>
      <c r="X8" s="1567"/>
      <c r="Y8" s="3457" t="s">
        <v>529</v>
      </c>
      <c r="Z8" s="3458"/>
      <c r="AA8" s="1568" t="e">
        <f t="shared" ref="AA8:AA34" si="3">D8/F8</f>
        <v>#DIV/0!</v>
      </c>
      <c r="AB8" s="1568" t="e">
        <f t="shared" ref="AB8:AB34" si="4">D8/H8</f>
        <v>#DIV/0!</v>
      </c>
      <c r="AC8" s="1568" t="e">
        <f t="shared" ref="AC8:AC34" si="5">D8/J8</f>
        <v>#DIV/0!</v>
      </c>
    </row>
    <row r="9" spans="1:29" s="1219" customFormat="1" ht="15">
      <c r="A9" s="2936"/>
      <c r="B9" s="2943" t="s">
        <v>2756</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426" t="s">
        <v>531</v>
      </c>
      <c r="Q9" s="1150" t="str">
        <f t="shared" ref="Q9:Q14" si="6">B9</f>
        <v>用途</v>
      </c>
      <c r="R9" s="1565" t="s">
        <v>8</v>
      </c>
      <c r="S9" s="1566">
        <f t="shared" si="0"/>
        <v>100</v>
      </c>
      <c r="T9" s="1565" t="s">
        <v>8</v>
      </c>
      <c r="U9" s="1566">
        <f t="shared" si="1"/>
        <v>100</v>
      </c>
      <c r="V9" s="1565" t="s">
        <v>8</v>
      </c>
      <c r="W9" s="1566">
        <f t="shared" si="2"/>
        <v>100</v>
      </c>
      <c r="X9" s="1567"/>
      <c r="Y9" s="3372" t="s">
        <v>532</v>
      </c>
      <c r="Z9" s="1149" t="str">
        <f t="shared" ref="Z9:Z14" si="7">Q9</f>
        <v>用途</v>
      </c>
      <c r="AA9" s="1568">
        <f t="shared" si="3"/>
        <v>1</v>
      </c>
      <c r="AB9" s="1568">
        <f t="shared" si="4"/>
        <v>1</v>
      </c>
      <c r="AC9" s="1568">
        <f t="shared" si="5"/>
        <v>1</v>
      </c>
    </row>
    <row r="10" spans="1:29" s="1337" customFormat="1" ht="27">
      <c r="A10" s="2937"/>
      <c r="B10" s="2942" t="s">
        <v>2757</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426"/>
      <c r="Q10" s="1150" t="str">
        <f t="shared" si="6"/>
        <v>土地使用年限（年）</v>
      </c>
      <c r="R10" s="1565" t="s">
        <v>8</v>
      </c>
      <c r="S10" s="1566">
        <f t="shared" si="0"/>
        <v>100</v>
      </c>
      <c r="T10" s="1565" t="s">
        <v>8</v>
      </c>
      <c r="U10" s="1566">
        <f t="shared" si="1"/>
        <v>100</v>
      </c>
      <c r="V10" s="1565" t="s">
        <v>8</v>
      </c>
      <c r="W10" s="1566">
        <f t="shared" si="2"/>
        <v>100</v>
      </c>
      <c r="X10" s="1567"/>
      <c r="Y10" s="3372"/>
      <c r="Z10" s="1149" t="str">
        <f t="shared" si="7"/>
        <v>土地使用年限（年）</v>
      </c>
      <c r="AA10" s="1568">
        <f t="shared" si="3"/>
        <v>1</v>
      </c>
      <c r="AB10" s="1568">
        <f t="shared" si="4"/>
        <v>1</v>
      </c>
      <c r="AC10" s="1568">
        <f t="shared" si="5"/>
        <v>1</v>
      </c>
    </row>
    <row r="11" spans="1:29" ht="15">
      <c r="A11" s="2939"/>
      <c r="B11" s="2945">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426"/>
      <c r="Q11" s="1150">
        <f t="shared" si="6"/>
        <v>111</v>
      </c>
      <c r="R11" s="1565" t="s">
        <v>8</v>
      </c>
      <c r="S11" s="1566">
        <f t="shared" si="0"/>
        <v>100</v>
      </c>
      <c r="T11" s="1565" t="s">
        <v>8</v>
      </c>
      <c r="U11" s="1566">
        <f t="shared" si="1"/>
        <v>100</v>
      </c>
      <c r="V11" s="1565" t="s">
        <v>8</v>
      </c>
      <c r="W11" s="1566">
        <f t="shared" si="2"/>
        <v>100</v>
      </c>
      <c r="X11" s="1567"/>
      <c r="Y11" s="3372"/>
      <c r="Z11" s="1149">
        <f t="shared" si="7"/>
        <v>111</v>
      </c>
      <c r="AA11" s="1568">
        <f t="shared" si="3"/>
        <v>1</v>
      </c>
      <c r="AB11" s="1568">
        <f t="shared" si="4"/>
        <v>1</v>
      </c>
      <c r="AC11" s="1568">
        <f t="shared" si="5"/>
        <v>1</v>
      </c>
    </row>
    <row r="12" spans="1:29" s="1219" customFormat="1" ht="15">
      <c r="A12" s="2939"/>
      <c r="B12" s="2945">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426"/>
      <c r="Q12" s="1150">
        <f t="shared" si="6"/>
        <v>111</v>
      </c>
      <c r="R12" s="1565" t="s">
        <v>8</v>
      </c>
      <c r="S12" s="1566">
        <f t="shared" si="0"/>
        <v>100</v>
      </c>
      <c r="T12" s="1565" t="s">
        <v>8</v>
      </c>
      <c r="U12" s="1566">
        <f t="shared" si="1"/>
        <v>100</v>
      </c>
      <c r="V12" s="1565" t="s">
        <v>8</v>
      </c>
      <c r="W12" s="1566">
        <f t="shared" si="2"/>
        <v>100</v>
      </c>
      <c r="X12" s="1567"/>
      <c r="Y12" s="3372"/>
      <c r="Z12" s="1149">
        <f t="shared" si="7"/>
        <v>111</v>
      </c>
      <c r="AA12" s="1568">
        <f>D12/F12</f>
        <v>1</v>
      </c>
      <c r="AB12" s="1568">
        <f>D12/H12</f>
        <v>1</v>
      </c>
      <c r="AC12" s="1568">
        <f>D12/J12</f>
        <v>1</v>
      </c>
    </row>
    <row r="13" spans="1:29" ht="15.75" thickBot="1">
      <c r="A13" s="2940"/>
      <c r="B13" s="2946">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426"/>
      <c r="Q13" s="1150">
        <f t="shared" si="6"/>
        <v>111</v>
      </c>
      <c r="R13" s="1565" t="s">
        <v>8</v>
      </c>
      <c r="S13" s="1566">
        <f t="shared" si="0"/>
        <v>100</v>
      </c>
      <c r="T13" s="1565" t="s">
        <v>8</v>
      </c>
      <c r="U13" s="1566">
        <f t="shared" si="1"/>
        <v>100</v>
      </c>
      <c r="V13" s="1565" t="s">
        <v>8</v>
      </c>
      <c r="W13" s="1566">
        <f t="shared" si="2"/>
        <v>100</v>
      </c>
      <c r="X13" s="1567"/>
      <c r="Y13" s="3372"/>
      <c r="Z13" s="1149">
        <f t="shared" si="7"/>
        <v>111</v>
      </c>
      <c r="AA13" s="1568">
        <f t="shared" si="3"/>
        <v>1</v>
      </c>
      <c r="AB13" s="1568">
        <f t="shared" si="4"/>
        <v>1</v>
      </c>
      <c r="AC13" s="1568">
        <f t="shared" si="5"/>
        <v>1</v>
      </c>
    </row>
    <row r="14" spans="1:29" ht="114">
      <c r="A14" s="2932" t="s">
        <v>2754</v>
      </c>
      <c r="B14" s="166" t="s">
        <v>539</v>
      </c>
      <c r="C14" s="920" t="str">
        <f>IF(B1="工业",估价对象房地状况!G4,估价对象房地状况!C6)</f>
        <v>估价对象周边道路状况、公共交通通达情况：有836、917、房12等多路公交车，停车便捷程度，综合评价交通便捷度一般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60" t="s">
        <v>536</v>
      </c>
      <c r="Q14" s="1569" t="str">
        <f t="shared" si="6"/>
        <v>交通便捷度</v>
      </c>
      <c r="R14" s="1570" t="s">
        <v>8</v>
      </c>
      <c r="S14" s="1571">
        <f t="shared" si="0"/>
        <v>100</v>
      </c>
      <c r="T14" s="1570" t="s">
        <v>8</v>
      </c>
      <c r="U14" s="1571">
        <f t="shared" si="1"/>
        <v>100</v>
      </c>
      <c r="V14" s="1570" t="s">
        <v>8</v>
      </c>
      <c r="W14" s="1571">
        <f t="shared" si="2"/>
        <v>100</v>
      </c>
      <c r="X14" s="1564"/>
      <c r="Y14" s="3460" t="s">
        <v>536</v>
      </c>
      <c r="Z14" s="1572" t="str">
        <f t="shared" si="7"/>
        <v>交通便捷度</v>
      </c>
      <c r="AA14" s="1573">
        <f t="shared" si="3"/>
        <v>1</v>
      </c>
      <c r="AB14" s="1573">
        <f t="shared" si="4"/>
        <v>1</v>
      </c>
      <c r="AC14" s="1573">
        <f t="shared" si="5"/>
        <v>1</v>
      </c>
    </row>
    <row r="15" spans="1:29" ht="15">
      <c r="A15" s="531"/>
      <c r="B15" s="868"/>
      <c r="C15" s="575"/>
      <c r="D15" s="554"/>
      <c r="E15" s="575"/>
      <c r="F15" s="556"/>
      <c r="G15" s="575"/>
      <c r="H15" s="558"/>
      <c r="I15" s="575"/>
      <c r="J15" s="554"/>
      <c r="K15" s="898"/>
      <c r="L15" s="2140"/>
      <c r="M15" s="2132"/>
      <c r="N15" s="2132"/>
      <c r="O15" s="2139"/>
      <c r="P15" s="3461"/>
      <c r="Q15" s="1569"/>
      <c r="R15" s="1570"/>
      <c r="S15" s="1571"/>
      <c r="T15" s="1570"/>
      <c r="U15" s="1571"/>
      <c r="V15" s="1570"/>
      <c r="W15" s="1571"/>
      <c r="X15" s="1564"/>
      <c r="Y15" s="3461"/>
      <c r="Z15" s="1572"/>
      <c r="AA15" s="1573">
        <v>1</v>
      </c>
      <c r="AB15" s="1573">
        <v>1</v>
      </c>
      <c r="AC15" s="1573">
        <v>1</v>
      </c>
    </row>
    <row r="16" spans="1:29" ht="42.75">
      <c r="A16" s="531"/>
      <c r="B16" s="2625" t="s">
        <v>2546</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61"/>
      <c r="Q16" s="1569" t="str">
        <f>B16</f>
        <v>公共配套设施</v>
      </c>
      <c r="R16" s="1570" t="s">
        <v>8</v>
      </c>
      <c r="S16" s="1571">
        <f>F16</f>
        <v>100</v>
      </c>
      <c r="T16" s="1570" t="s">
        <v>8</v>
      </c>
      <c r="U16" s="1571">
        <f>H16</f>
        <v>100</v>
      </c>
      <c r="V16" s="1570" t="s">
        <v>8</v>
      </c>
      <c r="W16" s="1571">
        <f>J16</f>
        <v>100</v>
      </c>
      <c r="X16" s="1564"/>
      <c r="Y16" s="3461"/>
      <c r="Z16" s="1572" t="str">
        <f>Q16</f>
        <v>公共配套设施</v>
      </c>
      <c r="AA16" s="1573">
        <f t="shared" si="3"/>
        <v>1</v>
      </c>
      <c r="AB16" s="1573">
        <f t="shared" si="4"/>
        <v>1</v>
      </c>
      <c r="AC16" s="1573">
        <f t="shared" si="5"/>
        <v>1</v>
      </c>
    </row>
    <row r="17" spans="1:29" ht="15">
      <c r="A17" s="531"/>
      <c r="B17" s="565"/>
      <c r="C17" s="872"/>
      <c r="D17" s="554"/>
      <c r="E17" s="575"/>
      <c r="F17" s="556"/>
      <c r="G17" s="575"/>
      <c r="H17" s="554"/>
      <c r="I17" s="575"/>
      <c r="J17" s="554"/>
      <c r="K17" s="898"/>
      <c r="L17" s="2140"/>
      <c r="M17" s="2132"/>
      <c r="N17" s="2132"/>
      <c r="O17" s="2139"/>
      <c r="P17" s="3461"/>
      <c r="Q17" s="1569"/>
      <c r="R17" s="1570"/>
      <c r="S17" s="1571"/>
      <c r="T17" s="1570"/>
      <c r="U17" s="1571"/>
      <c r="V17" s="1570"/>
      <c r="W17" s="1571"/>
      <c r="X17" s="1564"/>
      <c r="Y17" s="3461"/>
      <c r="Z17" s="1572"/>
      <c r="AA17" s="1573">
        <v>1</v>
      </c>
      <c r="AB17" s="1573">
        <v>1</v>
      </c>
      <c r="AC17" s="1573">
        <v>1</v>
      </c>
    </row>
    <row r="18" spans="1:29" ht="28.5">
      <c r="A18" s="531"/>
      <c r="B18" s="2613" t="s">
        <v>2558</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61"/>
      <c r="Q18" s="2601" t="str">
        <f>B18</f>
        <v>基础设施水平</v>
      </c>
      <c r="R18" s="1570" t="s">
        <v>8</v>
      </c>
      <c r="S18" s="1571">
        <f>F18</f>
        <v>100</v>
      </c>
      <c r="T18" s="1570" t="s">
        <v>8</v>
      </c>
      <c r="U18" s="1571">
        <f>H18</f>
        <v>100</v>
      </c>
      <c r="V18" s="1570" t="s">
        <v>8</v>
      </c>
      <c r="W18" s="1571">
        <f>J18</f>
        <v>100</v>
      </c>
      <c r="X18" s="2603"/>
      <c r="Y18" s="3461"/>
      <c r="Z18" s="2602" t="str">
        <f>Q18</f>
        <v>基础设施水平</v>
      </c>
      <c r="AA18" s="1573">
        <f t="shared" ref="AA18" si="8">D18/F18</f>
        <v>1</v>
      </c>
      <c r="AB18" s="1573">
        <f t="shared" ref="AB18" si="9">D18/H18</f>
        <v>1</v>
      </c>
      <c r="AC18" s="1573">
        <f t="shared" ref="AC18" si="10">D18/J18</f>
        <v>1</v>
      </c>
    </row>
    <row r="19" spans="1:29" ht="15">
      <c r="A19" s="531"/>
      <c r="B19" s="577"/>
      <c r="C19" s="872"/>
      <c r="D19" s="558"/>
      <c r="E19" s="872"/>
      <c r="F19" s="562"/>
      <c r="G19" s="872"/>
      <c r="H19" s="554"/>
      <c r="I19" s="575"/>
      <c r="J19" s="554"/>
      <c r="K19" s="2624"/>
      <c r="L19" s="2140"/>
      <c r="M19" s="2132"/>
      <c r="N19" s="2132"/>
      <c r="O19" s="2139"/>
      <c r="P19" s="3461"/>
      <c r="Q19" s="2601"/>
      <c r="R19" s="1570"/>
      <c r="S19" s="1571"/>
      <c r="T19" s="1570"/>
      <c r="U19" s="1571"/>
      <c r="V19" s="1570"/>
      <c r="W19" s="1571"/>
      <c r="X19" s="2603"/>
      <c r="Y19" s="3461"/>
      <c r="Z19" s="2602"/>
      <c r="AA19" s="1573">
        <v>1</v>
      </c>
      <c r="AB19" s="1573">
        <v>1</v>
      </c>
      <c r="AC19" s="1573">
        <v>1</v>
      </c>
    </row>
    <row r="20" spans="1:29" ht="99.75">
      <c r="A20" s="531"/>
      <c r="B20" s="870" t="s">
        <v>800</v>
      </c>
      <c r="C20" s="871" t="str">
        <f>IF(B1="工业",估价对象房地状况!G7,估价对象房地状况!C9)</f>
        <v>周边2公里区域自然环境：牛口峪公园、周口店人民公园；人文环境：北京猿人遗址；综合评价环境状况较好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61"/>
      <c r="Q20" s="1569" t="str">
        <f>B20</f>
        <v>自然及人文环境</v>
      </c>
      <c r="R20" s="1570" t="s">
        <v>8</v>
      </c>
      <c r="S20" s="1571">
        <f>F20</f>
        <v>100</v>
      </c>
      <c r="T20" s="1570" t="s">
        <v>8</v>
      </c>
      <c r="U20" s="1571">
        <f>H20</f>
        <v>100</v>
      </c>
      <c r="V20" s="1570" t="s">
        <v>8</v>
      </c>
      <c r="W20" s="1571">
        <f>J20</f>
        <v>100</v>
      </c>
      <c r="X20" s="1564"/>
      <c r="Y20" s="3461"/>
      <c r="Z20" s="1572" t="str">
        <f>Q20</f>
        <v>自然及人文环境</v>
      </c>
      <c r="AA20" s="1573">
        <f t="shared" si="3"/>
        <v>1</v>
      </c>
      <c r="AB20" s="1573">
        <f t="shared" si="4"/>
        <v>1</v>
      </c>
      <c r="AC20" s="1573">
        <f t="shared" si="5"/>
        <v>1</v>
      </c>
    </row>
    <row r="21" spans="1:29" ht="15">
      <c r="A21" s="531"/>
      <c r="B21" s="594"/>
      <c r="C21" s="575"/>
      <c r="D21" s="554"/>
      <c r="E21" s="575"/>
      <c r="F21" s="556"/>
      <c r="G21" s="575"/>
      <c r="H21" s="554"/>
      <c r="I21" s="575"/>
      <c r="J21" s="554"/>
      <c r="K21" s="898"/>
      <c r="L21" s="2140"/>
      <c r="M21" s="2132"/>
      <c r="N21" s="2132"/>
      <c r="O21" s="2139"/>
      <c r="P21" s="3461"/>
      <c r="Q21" s="1569"/>
      <c r="R21" s="1570"/>
      <c r="S21" s="1571"/>
      <c r="T21" s="1570"/>
      <c r="U21" s="1571"/>
      <c r="V21" s="1570"/>
      <c r="W21" s="1571"/>
      <c r="X21" s="1564"/>
      <c r="Y21" s="3461"/>
      <c r="Z21" s="1572"/>
      <c r="AA21" s="1573">
        <v>1</v>
      </c>
      <c r="AB21" s="1573">
        <v>1</v>
      </c>
      <c r="AC21" s="1573">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61"/>
      <c r="Q22" s="1569" t="str">
        <f>B22</f>
        <v>楼层</v>
      </c>
      <c r="R22" s="1570" t="s">
        <v>8</v>
      </c>
      <c r="S22" s="1571">
        <f>F22</f>
        <v>100</v>
      </c>
      <c r="T22" s="1570" t="s">
        <v>8</v>
      </c>
      <c r="U22" s="1571">
        <f>H22</f>
        <v>100</v>
      </c>
      <c r="V22" s="1570" t="s">
        <v>8</v>
      </c>
      <c r="W22" s="1571">
        <f>J22</f>
        <v>100</v>
      </c>
      <c r="X22" s="1564"/>
      <c r="Y22" s="3461"/>
      <c r="Z22" s="1572" t="str">
        <f>Q22</f>
        <v>楼层</v>
      </c>
      <c r="AA22" s="1573">
        <f t="shared" si="3"/>
        <v>1</v>
      </c>
      <c r="AB22" s="1573">
        <f t="shared" si="4"/>
        <v>1</v>
      </c>
      <c r="AC22" s="1573">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61"/>
      <c r="Q23" s="1569">
        <f>B23</f>
        <v>111</v>
      </c>
      <c r="R23" s="1570" t="s">
        <v>8</v>
      </c>
      <c r="S23" s="1571">
        <f>F23</f>
        <v>100</v>
      </c>
      <c r="T23" s="1570" t="s">
        <v>8</v>
      </c>
      <c r="U23" s="1571">
        <f>H23</f>
        <v>100</v>
      </c>
      <c r="V23" s="1570" t="s">
        <v>8</v>
      </c>
      <c r="W23" s="1571">
        <f>J23</f>
        <v>100</v>
      </c>
      <c r="X23" s="1564"/>
      <c r="Y23" s="3461"/>
      <c r="Z23" s="1572">
        <f>Q23</f>
        <v>111</v>
      </c>
      <c r="AA23" s="1573">
        <f t="shared" si="3"/>
        <v>1</v>
      </c>
      <c r="AB23" s="1573">
        <f t="shared" si="4"/>
        <v>1</v>
      </c>
      <c r="AC23" s="1573">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61"/>
      <c r="Q24" s="1569">
        <f t="shared" ref="Q24:Q34" si="11">B24</f>
        <v>111</v>
      </c>
      <c r="R24" s="1570" t="s">
        <v>8</v>
      </c>
      <c r="S24" s="1571">
        <f>F24</f>
        <v>100</v>
      </c>
      <c r="T24" s="1570" t="s">
        <v>8</v>
      </c>
      <c r="U24" s="1571">
        <f>H24</f>
        <v>100</v>
      </c>
      <c r="V24" s="1570" t="s">
        <v>8</v>
      </c>
      <c r="W24" s="1571">
        <f>J24</f>
        <v>100</v>
      </c>
      <c r="X24" s="1564"/>
      <c r="Y24" s="3461"/>
      <c r="Z24" s="1572">
        <f>Q24</f>
        <v>111</v>
      </c>
      <c r="AA24" s="1573">
        <f t="shared" si="3"/>
        <v>1</v>
      </c>
      <c r="AB24" s="1573">
        <f t="shared" si="4"/>
        <v>1</v>
      </c>
      <c r="AC24" s="1573">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61"/>
      <c r="Q25" s="1150">
        <f t="shared" si="11"/>
        <v>111</v>
      </c>
      <c r="R25" s="1565" t="s">
        <v>8</v>
      </c>
      <c r="S25" s="1566">
        <f>F25</f>
        <v>100</v>
      </c>
      <c r="T25" s="1565" t="s">
        <v>8</v>
      </c>
      <c r="U25" s="1566">
        <f>H25</f>
        <v>100</v>
      </c>
      <c r="V25" s="1565" t="s">
        <v>8</v>
      </c>
      <c r="W25" s="1566">
        <f>J25</f>
        <v>100</v>
      </c>
      <c r="X25" s="1567"/>
      <c r="Y25" s="3461"/>
      <c r="Z25" s="1149">
        <f>Q25</f>
        <v>111</v>
      </c>
      <c r="AA25" s="1573">
        <f>D25/F25</f>
        <v>1</v>
      </c>
      <c r="AB25" s="1573">
        <f>D25/H25</f>
        <v>1</v>
      </c>
      <c r="AC25" s="1573">
        <f>D25/J25</f>
        <v>1</v>
      </c>
    </row>
    <row r="26" spans="1:29" ht="15">
      <c r="A26" s="2929" t="s">
        <v>2755</v>
      </c>
      <c r="B26" s="172" t="s">
        <v>804</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62" t="s">
        <v>817</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63" t="s">
        <v>817</v>
      </c>
      <c r="Z26" s="1572" t="str">
        <f t="shared" ref="Z26:Z34" si="15">Q26</f>
        <v>公共部分装修</v>
      </c>
      <c r="AA26" s="1573">
        <f t="shared" si="3"/>
        <v>1</v>
      </c>
      <c r="AB26" s="1573">
        <f t="shared" si="4"/>
        <v>1</v>
      </c>
      <c r="AC26" s="1573">
        <f t="shared" si="5"/>
        <v>1</v>
      </c>
    </row>
    <row r="27" spans="1:29" s="1338" customFormat="1" ht="15">
      <c r="A27" s="602"/>
      <c r="B27" s="526" t="s">
        <v>805</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63"/>
      <c r="Q27" s="1602" t="str">
        <f t="shared" si="11"/>
        <v>成新率</v>
      </c>
      <c r="R27" s="1574" t="s">
        <v>8</v>
      </c>
      <c r="S27" s="1575" t="e">
        <f t="shared" si="12"/>
        <v>#N/A</v>
      </c>
      <c r="T27" s="1574" t="s">
        <v>8</v>
      </c>
      <c r="U27" s="1575" t="e">
        <f t="shared" si="13"/>
        <v>#N/A</v>
      </c>
      <c r="V27" s="1574" t="s">
        <v>8</v>
      </c>
      <c r="W27" s="1575" t="e">
        <f t="shared" si="14"/>
        <v>#N/A</v>
      </c>
      <c r="X27" s="1576"/>
      <c r="Y27" s="3463"/>
      <c r="Z27" s="1577" t="str">
        <f t="shared" si="15"/>
        <v>成新率</v>
      </c>
      <c r="AA27" s="1573" t="e">
        <f t="shared" si="3"/>
        <v>#N/A</v>
      </c>
      <c r="AB27" s="1573" t="e">
        <f t="shared" si="4"/>
        <v>#N/A</v>
      </c>
      <c r="AC27" s="1573"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63"/>
      <c r="Q28" s="1569" t="str">
        <f t="shared" si="11"/>
        <v>物业等级</v>
      </c>
      <c r="R28" s="1570" t="s">
        <v>8</v>
      </c>
      <c r="S28" s="1571">
        <f t="shared" si="12"/>
        <v>100</v>
      </c>
      <c r="T28" s="1570" t="s">
        <v>8</v>
      </c>
      <c r="U28" s="1571">
        <f t="shared" si="13"/>
        <v>100</v>
      </c>
      <c r="V28" s="1570" t="s">
        <v>8</v>
      </c>
      <c r="W28" s="1571">
        <f t="shared" si="14"/>
        <v>100</v>
      </c>
      <c r="X28" s="1564"/>
      <c r="Y28" s="3463"/>
      <c r="Z28" s="1572" t="str">
        <f t="shared" si="15"/>
        <v>物业等级</v>
      </c>
      <c r="AA28" s="1573">
        <f t="shared" si="3"/>
        <v>1</v>
      </c>
      <c r="AB28" s="1573">
        <f t="shared" si="4"/>
        <v>1</v>
      </c>
      <c r="AC28" s="1573">
        <f t="shared" si="5"/>
        <v>1</v>
      </c>
    </row>
    <row r="29" spans="1:29" ht="15">
      <c r="A29" s="593"/>
      <c r="B29" s="526" t="s">
        <v>818</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63"/>
      <c r="Q29" s="1569" t="str">
        <f t="shared" si="11"/>
        <v>有无电梯</v>
      </c>
      <c r="R29" s="1570" t="s">
        <v>8</v>
      </c>
      <c r="S29" s="1571">
        <f t="shared" si="12"/>
        <v>100</v>
      </c>
      <c r="T29" s="1570" t="s">
        <v>8</v>
      </c>
      <c r="U29" s="1571">
        <f t="shared" si="13"/>
        <v>100</v>
      </c>
      <c r="V29" s="1570" t="s">
        <v>8</v>
      </c>
      <c r="W29" s="1571">
        <f t="shared" si="14"/>
        <v>100</v>
      </c>
      <c r="X29" s="1564"/>
      <c r="Y29" s="3463"/>
      <c r="Z29" s="1572" t="str">
        <f t="shared" si="15"/>
        <v>有无电梯</v>
      </c>
      <c r="AA29" s="1573">
        <f t="shared" si="3"/>
        <v>1</v>
      </c>
      <c r="AB29" s="1573">
        <f t="shared" si="4"/>
        <v>1</v>
      </c>
      <c r="AC29" s="1573">
        <f t="shared" si="5"/>
        <v>1</v>
      </c>
    </row>
    <row r="30" spans="1:29" ht="15">
      <c r="A30" s="593"/>
      <c r="B30" s="526" t="s">
        <v>819</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63"/>
      <c r="Q30" s="1569" t="str">
        <f t="shared" si="11"/>
        <v>建筑面积</v>
      </c>
      <c r="R30" s="1570" t="s">
        <v>8</v>
      </c>
      <c r="S30" s="1571" t="e">
        <f t="shared" si="12"/>
        <v>#N/A</v>
      </c>
      <c r="T30" s="1570" t="s">
        <v>8</v>
      </c>
      <c r="U30" s="1571" t="e">
        <f t="shared" si="13"/>
        <v>#N/A</v>
      </c>
      <c r="V30" s="1570" t="s">
        <v>8</v>
      </c>
      <c r="W30" s="1571" t="e">
        <f t="shared" si="14"/>
        <v>#N/A</v>
      </c>
      <c r="X30" s="1564"/>
      <c r="Y30" s="3463"/>
      <c r="Z30" s="1572" t="str">
        <f t="shared" si="15"/>
        <v>建筑面积</v>
      </c>
      <c r="AA30" s="1573" t="e">
        <f t="shared" si="3"/>
        <v>#N/A</v>
      </c>
      <c r="AB30" s="1573" t="e">
        <f t="shared" si="4"/>
        <v>#N/A</v>
      </c>
      <c r="AC30" s="1573" t="e">
        <f t="shared" si="5"/>
        <v>#N/A</v>
      </c>
    </row>
    <row r="31" spans="1:29" s="1219" customFormat="1" ht="15">
      <c r="A31" s="599"/>
      <c r="B31" s="526" t="s">
        <v>820</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63"/>
      <c r="Q31" s="1150" t="str">
        <f t="shared" si="11"/>
        <v>是否封闭</v>
      </c>
      <c r="R31" s="1565" t="s">
        <v>8</v>
      </c>
      <c r="S31" s="1566">
        <f t="shared" si="12"/>
        <v>100</v>
      </c>
      <c r="T31" s="1565" t="s">
        <v>8</v>
      </c>
      <c r="U31" s="1566">
        <f t="shared" si="13"/>
        <v>100</v>
      </c>
      <c r="V31" s="1565" t="s">
        <v>8</v>
      </c>
      <c r="W31" s="1566">
        <f t="shared" si="14"/>
        <v>100</v>
      </c>
      <c r="X31" s="1567"/>
      <c r="Y31" s="3463"/>
      <c r="Z31" s="1149" t="str">
        <f t="shared" si="15"/>
        <v>是否封闭</v>
      </c>
      <c r="AA31" s="1568">
        <f t="shared" si="3"/>
        <v>1</v>
      </c>
      <c r="AB31" s="1568">
        <f t="shared" si="4"/>
        <v>1</v>
      </c>
      <c r="AC31" s="1568">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63" t="s">
        <v>546</v>
      </c>
      <c r="Q32" s="1569">
        <f t="shared" si="11"/>
        <v>111</v>
      </c>
      <c r="R32" s="1570" t="s">
        <v>8</v>
      </c>
      <c r="S32" s="1571">
        <f t="shared" si="12"/>
        <v>100</v>
      </c>
      <c r="T32" s="1570" t="s">
        <v>8</v>
      </c>
      <c r="U32" s="1571">
        <f t="shared" si="13"/>
        <v>100</v>
      </c>
      <c r="V32" s="1570" t="s">
        <v>8</v>
      </c>
      <c r="W32" s="1571">
        <f t="shared" si="14"/>
        <v>100</v>
      </c>
      <c r="X32" s="1564"/>
      <c r="Y32" s="3463" t="s">
        <v>546</v>
      </c>
      <c r="Z32" s="1572">
        <f t="shared" si="15"/>
        <v>111</v>
      </c>
      <c r="AA32" s="1573">
        <f t="shared" si="3"/>
        <v>1</v>
      </c>
      <c r="AB32" s="1573">
        <f t="shared" si="4"/>
        <v>1</v>
      </c>
      <c r="AC32" s="1573">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63"/>
      <c r="Q33" s="1569">
        <f t="shared" si="11"/>
        <v>111</v>
      </c>
      <c r="R33" s="1570" t="s">
        <v>8</v>
      </c>
      <c r="S33" s="1571">
        <f t="shared" si="12"/>
        <v>100</v>
      </c>
      <c r="T33" s="1570" t="s">
        <v>8</v>
      </c>
      <c r="U33" s="1571">
        <f t="shared" si="13"/>
        <v>100</v>
      </c>
      <c r="V33" s="1570" t="s">
        <v>8</v>
      </c>
      <c r="W33" s="1571">
        <f t="shared" si="14"/>
        <v>100</v>
      </c>
      <c r="X33" s="1564"/>
      <c r="Y33" s="3463"/>
      <c r="Z33" s="1572">
        <f t="shared" si="15"/>
        <v>111</v>
      </c>
      <c r="AA33" s="1573">
        <f t="shared" si="3"/>
        <v>1</v>
      </c>
      <c r="AB33" s="1573">
        <f t="shared" si="4"/>
        <v>1</v>
      </c>
      <c r="AC33" s="1573">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63"/>
      <c r="Q34" s="1569">
        <f t="shared" si="11"/>
        <v>111</v>
      </c>
      <c r="R34" s="1570" t="s">
        <v>8</v>
      </c>
      <c r="S34" s="1571">
        <f t="shared" si="12"/>
        <v>100</v>
      </c>
      <c r="T34" s="1570" t="s">
        <v>8</v>
      </c>
      <c r="U34" s="1571">
        <f t="shared" si="13"/>
        <v>100</v>
      </c>
      <c r="V34" s="1570" t="s">
        <v>8</v>
      </c>
      <c r="W34" s="1571">
        <f t="shared" si="14"/>
        <v>100</v>
      </c>
      <c r="X34" s="1564"/>
      <c r="Y34" s="3463"/>
      <c r="Z34" s="1572">
        <f t="shared" si="15"/>
        <v>111</v>
      </c>
      <c r="AA34" s="1573">
        <f t="shared" si="3"/>
        <v>1</v>
      </c>
      <c r="AB34" s="1573">
        <f t="shared" si="4"/>
        <v>1</v>
      </c>
      <c r="AC34" s="1573">
        <f t="shared" si="5"/>
        <v>1</v>
      </c>
    </row>
    <row r="35" spans="1:29" ht="15">
      <c r="A35" s="606" t="s">
        <v>732</v>
      </c>
      <c r="B35" s="886"/>
      <c r="C35" s="2649" t="s">
        <v>1</v>
      </c>
      <c r="D35" s="2650"/>
      <c r="E35" s="2651"/>
      <c r="F35" s="2652"/>
      <c r="G35" s="2653"/>
      <c r="H35" s="2654"/>
      <c r="I35" s="2651"/>
      <c r="J35" s="2654"/>
      <c r="K35" s="1608"/>
      <c r="L35" s="2142"/>
      <c r="M35" s="2143"/>
      <c r="N35" s="2132"/>
      <c r="O35" s="2143"/>
      <c r="P35" s="3426" t="str">
        <f>A35</f>
        <v>成交单价（元/平方米）</v>
      </c>
      <c r="Q35" s="3426"/>
      <c r="R35" s="3539">
        <f>E35</f>
        <v>0</v>
      </c>
      <c r="S35" s="3539"/>
      <c r="T35" s="3539">
        <f>G35</f>
        <v>0</v>
      </c>
      <c r="U35" s="3539"/>
      <c r="V35" s="3539">
        <f>I35</f>
        <v>0</v>
      </c>
      <c r="W35" s="3539"/>
      <c r="X35" s="1556"/>
      <c r="Y35" s="1578"/>
      <c r="Z35" s="1556"/>
      <c r="AA35" s="1556"/>
      <c r="AB35" s="1556"/>
      <c r="AC35" s="1556"/>
    </row>
    <row r="36" spans="1:29" ht="15.75" thickBot="1">
      <c r="A36" s="614" t="s">
        <v>2760</v>
      </c>
      <c r="B36" s="887"/>
      <c r="C36" s="2655" t="e">
        <f>R37</f>
        <v>#DIV/0!</v>
      </c>
      <c r="D36" s="2656"/>
      <c r="E36" s="2657" t="e">
        <f>R36</f>
        <v>#DIV/0!</v>
      </c>
      <c r="F36" s="2657"/>
      <c r="G36" s="2655" t="e">
        <f>T36</f>
        <v>#DIV/0!</v>
      </c>
      <c r="H36" s="2656"/>
      <c r="I36" s="2657" t="e">
        <f>V36</f>
        <v>#DIV/0!</v>
      </c>
      <c r="J36" s="2656"/>
      <c r="K36" s="1609"/>
      <c r="L36" s="2142"/>
      <c r="M36" s="2143"/>
      <c r="N36" s="2132"/>
      <c r="O36" s="2143"/>
      <c r="P36" s="3426" t="str">
        <f>A36</f>
        <v>比较价格（元/平方米）</v>
      </c>
      <c r="Q36" s="3426"/>
      <c r="R36" s="3539" t="e">
        <f>IF(F1="售价",ROUND(PRODUCT(R35,AA7:AA34),0),ROUND(PRODUCT(R35,AA7:AA34),1))</f>
        <v>#DIV/0!</v>
      </c>
      <c r="S36" s="3539"/>
      <c r="T36" s="3539" t="e">
        <f>IF(F1="售价",ROUND(PRODUCT(T35,AB7:AB34),0),ROUND(PRODUCT(T35,AB7:AB34),1))</f>
        <v>#DIV/0!</v>
      </c>
      <c r="U36" s="3539"/>
      <c r="V36" s="3539" t="e">
        <f>IF(F1="售价",ROUND(PRODUCT(V35,AC7:AC34),0),ROUND(PRODUCT(V35,AC7:AC34),1))</f>
        <v>#DIV/0!</v>
      </c>
      <c r="W36" s="3539"/>
      <c r="X36" s="1556"/>
      <c r="Y36" s="1556"/>
      <c r="Z36" s="1556"/>
      <c r="AA36" s="1556"/>
      <c r="AB36" s="1556"/>
      <c r="AC36" s="1556"/>
    </row>
    <row r="37" spans="1:29" ht="15.75" thickBot="1">
      <c r="A37" s="620" t="s">
        <v>2934</v>
      </c>
      <c r="B37" s="621"/>
      <c r="C37" s="2658" t="e">
        <f>R37</f>
        <v>#DIV/0!</v>
      </c>
      <c r="D37" s="2658"/>
      <c r="E37" s="2658"/>
      <c r="F37" s="2658"/>
      <c r="G37" s="2658"/>
      <c r="H37" s="2658"/>
      <c r="I37" s="2658"/>
      <c r="J37" s="2658"/>
      <c r="K37" s="1610"/>
      <c r="L37" s="2142"/>
      <c r="M37" s="2143"/>
      <c r="N37" s="2143"/>
      <c r="O37" s="2143"/>
      <c r="P37" s="3423" t="str">
        <f>A37</f>
        <v>估价对象XX用房的比较价格（楼面单价，元/平方米）</v>
      </c>
      <c r="Q37" s="3424"/>
      <c r="R37" s="3538" t="e">
        <f>IF(F1="售价",ROUND(AVERAGE(R36:V36),0),ROUND(AVERAGE(R36:V36),1))</f>
        <v>#DIV/0!</v>
      </c>
      <c r="S37" s="3538"/>
      <c r="T37" s="3538"/>
      <c r="U37" s="3538"/>
      <c r="V37" s="3538"/>
      <c r="W37" s="3538"/>
      <c r="X37" s="1556"/>
      <c r="Y37" s="1556"/>
      <c r="Z37" s="1556"/>
      <c r="AA37" s="1556"/>
      <c r="AB37" s="1556"/>
      <c r="AC37" s="1556"/>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1" t="s">
        <v>570</v>
      </c>
      <c r="B45" s="1556"/>
      <c r="C45" s="1580"/>
      <c r="D45" s="1580"/>
      <c r="E45" s="1580"/>
      <c r="F45" s="1582"/>
      <c r="G45" s="1582"/>
      <c r="H45" s="1580"/>
      <c r="I45" s="1580"/>
      <c r="J45" s="1580"/>
      <c r="K45" s="1583"/>
      <c r="L45" s="1579"/>
      <c r="M45" s="1580"/>
      <c r="N45" s="1580"/>
      <c r="O45" s="1580"/>
      <c r="P45" s="2155"/>
      <c r="Q45" s="2156"/>
      <c r="R45" s="2143"/>
      <c r="S45" s="2143"/>
      <c r="T45" s="2143"/>
      <c r="U45" s="2143"/>
      <c r="V45" s="2143"/>
      <c r="W45" s="2143"/>
      <c r="X45" s="2143"/>
      <c r="Y45" s="2143"/>
      <c r="Z45" s="2143"/>
      <c r="AA45" s="2143"/>
      <c r="AB45" s="2143"/>
      <c r="AC45" s="2143"/>
    </row>
    <row r="46" spans="1:29" s="1346" customFormat="1" ht="15">
      <c r="A46" s="644" t="s">
        <v>525</v>
      </c>
      <c r="B46" s="645"/>
      <c r="C46" s="2824" t="str">
        <f>YEAR(C7)&amp;"-"&amp;MONTH(C7)</f>
        <v>2018-5</v>
      </c>
      <c r="D46" s="2826">
        <f>EDATE(C46,-1)</f>
        <v>43191</v>
      </c>
      <c r="E46" s="2826">
        <f t="shared" ref="E46:O46" si="16">EDATE(D46,-1)</f>
        <v>43160</v>
      </c>
      <c r="F46" s="2826">
        <f t="shared" si="16"/>
        <v>43132</v>
      </c>
      <c r="G46" s="2826">
        <f t="shared" si="16"/>
        <v>43101</v>
      </c>
      <c r="H46" s="2826">
        <f t="shared" si="16"/>
        <v>43070</v>
      </c>
      <c r="I46" s="2826">
        <f t="shared" si="16"/>
        <v>43040</v>
      </c>
      <c r="J46" s="2826">
        <f t="shared" si="16"/>
        <v>43009</v>
      </c>
      <c r="K46" s="2826">
        <f t="shared" si="16"/>
        <v>42979</v>
      </c>
      <c r="L46" s="2826">
        <f t="shared" si="16"/>
        <v>42948</v>
      </c>
      <c r="M46" s="2826">
        <f t="shared" si="16"/>
        <v>42917</v>
      </c>
      <c r="N46" s="2826">
        <f t="shared" si="16"/>
        <v>42887</v>
      </c>
      <c r="O46" s="2826">
        <f t="shared" si="16"/>
        <v>42856</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571</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527</v>
      </c>
      <c r="B49" s="647"/>
      <c r="C49" s="659" t="s">
        <v>572</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573</v>
      </c>
      <c r="B51" s="664" t="s">
        <v>530</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2557</v>
      </c>
      <c r="C63" s="707" t="s">
        <v>575</v>
      </c>
      <c r="D63" s="707" t="s">
        <v>576</v>
      </c>
      <c r="E63" s="707" t="s">
        <v>577</v>
      </c>
      <c r="F63" s="707" t="s">
        <v>578</v>
      </c>
      <c r="G63" s="707" t="s">
        <v>579</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619" t="s">
        <v>2558</v>
      </c>
      <c r="C65" s="2620" t="s">
        <v>2559</v>
      </c>
      <c r="D65" s="2620" t="s">
        <v>2560</v>
      </c>
      <c r="E65" s="2620" t="s">
        <v>2561</v>
      </c>
      <c r="F65" s="2620" t="s">
        <v>2562</v>
      </c>
      <c r="G65" s="2620" t="s">
        <v>2563</v>
      </c>
      <c r="H65" s="673"/>
      <c r="I65" s="673"/>
      <c r="J65" s="673"/>
      <c r="K65" s="673"/>
      <c r="L65" s="673"/>
      <c r="M65" s="2623"/>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740</v>
      </c>
      <c r="C67" s="707" t="s">
        <v>575</v>
      </c>
      <c r="D67" s="707" t="s">
        <v>576</v>
      </c>
      <c r="E67" s="707" t="s">
        <v>577</v>
      </c>
      <c r="F67" s="707" t="s">
        <v>578</v>
      </c>
      <c r="G67" s="707" t="s">
        <v>579</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741</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547</v>
      </c>
      <c r="B77" s="664" t="s">
        <v>747</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813</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821</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823</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3"/>
    <col min="19" max="19" width="9" style="1249"/>
    <col min="20" max="35" width="9" style="256"/>
    <col min="36" max="16384" width="9" style="1249"/>
  </cols>
  <sheetData>
    <row r="1" spans="1:45" s="256" customFormat="1" ht="14.25" customHeight="1" thickBot="1">
      <c r="A1" s="364"/>
      <c r="B1" s="2232" t="s">
        <v>2302</v>
      </c>
      <c r="C1" s="3548" t="s">
        <v>2303</v>
      </c>
      <c r="D1" s="3549"/>
      <c r="E1" s="3549"/>
      <c r="F1" s="3549"/>
      <c r="G1" s="3549"/>
      <c r="H1" s="3549"/>
      <c r="I1" s="3549"/>
      <c r="J1" s="3549"/>
      <c r="K1" s="3549"/>
      <c r="L1" s="3549"/>
      <c r="M1" s="3549"/>
      <c r="N1" s="3549"/>
      <c r="O1" s="3549"/>
      <c r="P1" s="3549"/>
      <c r="Q1" s="3549"/>
      <c r="R1" s="3549"/>
      <c r="S1" s="3550"/>
      <c r="T1" s="2232" t="s">
        <v>2304</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108" t="s">
        <v>2927</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110" t="s">
        <v>2926</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110" t="s">
        <v>2925</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109"/>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108" t="s">
        <v>2940</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108" t="s">
        <v>2924</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108" t="s">
        <v>2923</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2306</v>
      </c>
      <c r="B17" s="2276" t="s">
        <v>2307</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824</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825</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826</v>
      </c>
      <c r="B22" s="53">
        <f>SUM(B24:B10000)</f>
        <v>0</v>
      </c>
      <c r="C22" s="3545" t="s">
        <v>20</v>
      </c>
      <c r="D22" s="3546"/>
      <c r="E22" s="3546"/>
      <c r="F22" s="3546"/>
      <c r="G22" s="3546"/>
      <c r="H22" s="3546"/>
      <c r="I22" s="3546"/>
      <c r="J22" s="3546"/>
      <c r="K22" s="3546"/>
      <c r="L22" s="3546"/>
      <c r="M22" s="3546"/>
      <c r="N22" s="3546"/>
      <c r="O22" s="3546"/>
      <c r="P22" s="3546"/>
      <c r="Q22" s="3547"/>
      <c r="R22" s="489" t="e">
        <f>ROUND(S22*10000/B22,0)</f>
        <v>#DIV/0!</v>
      </c>
      <c r="S22" s="53">
        <f>SUM(S24:S10000)</f>
        <v>0</v>
      </c>
    </row>
    <row r="23" spans="1:45" s="1611"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2" customFormat="1">
      <c r="A24" s="960" t="s">
        <v>832</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2788</v>
      </c>
      <c r="C1" s="3026">
        <f>项目基本情况!D3</f>
        <v>43234</v>
      </c>
      <c r="H1" s="2960">
        <f>IF(C1&gt;C13,0,MATCH(C1,C$13:C$100,-1))+IF(SUMIF(C13:C100,C1,D13:D100)=0,13,12)</f>
        <v>13</v>
      </c>
      <c r="I1" s="2960">
        <f>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2819</v>
      </c>
      <c r="C2" s="3027">
        <f>'数据-取费表'!B22</f>
        <v>2</v>
      </c>
      <c r="D2" s="3022" t="s">
        <v>2789</v>
      </c>
      <c r="E2" s="3025">
        <f ca="1">INDIRECT("I"&amp;$I$1)/100</f>
        <v>4.7500000000000001E-2</v>
      </c>
      <c r="G2" s="2962"/>
      <c r="H2" s="2962"/>
      <c r="I2" s="2962" t="s">
        <v>2790</v>
      </c>
      <c r="K2" s="2962"/>
      <c r="L2" s="2962"/>
      <c r="M2" s="2962"/>
      <c r="N2" s="2962" t="s">
        <v>2791</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2821</v>
      </c>
      <c r="C3" s="3024">
        <f>'数据-取费表'!B19</f>
        <v>0</v>
      </c>
      <c r="D3" s="3022" t="s">
        <v>2789</v>
      </c>
      <c r="E3" s="3025">
        <f ca="1">INDIRECT("J"&amp;$J$1)/100</f>
        <v>0</v>
      </c>
      <c r="G3" s="2964" t="s">
        <v>2792</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2820</v>
      </c>
      <c r="C4" s="3025">
        <f ca="1">N4/100</f>
        <v>1.4999999999999999E-2</v>
      </c>
      <c r="G4" s="2970" t="s">
        <v>2793</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2794</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2795</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2796</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2797</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2798</v>
      </c>
      <c r="C10" s="2989"/>
      <c r="D10" s="2989"/>
      <c r="E10" s="2989"/>
      <c r="F10" s="2989"/>
      <c r="G10" s="2989"/>
      <c r="H10" s="2989"/>
      <c r="I10" s="2963"/>
      <c r="J10" s="2963"/>
      <c r="K10" s="2989"/>
      <c r="L10" s="2990" t="s">
        <v>2799</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2800</v>
      </c>
      <c r="C11" s="2994" t="s">
        <v>2801</v>
      </c>
      <c r="D11" s="2995" t="s">
        <v>2802</v>
      </c>
      <c r="E11" s="2996"/>
      <c r="F11" s="2995" t="s">
        <v>2803</v>
      </c>
      <c r="G11" s="2997"/>
      <c r="H11" s="2996"/>
      <c r="I11" s="2995" t="s">
        <v>2804</v>
      </c>
      <c r="J11" s="2996"/>
      <c r="K11" s="2992"/>
      <c r="L11" s="2993" t="s">
        <v>2800</v>
      </c>
      <c r="M11" s="2994" t="s">
        <v>2801</v>
      </c>
      <c r="N11" s="2993" t="s">
        <v>2805</v>
      </c>
      <c r="O11" s="2995" t="s">
        <v>2806</v>
      </c>
      <c r="P11" s="2997"/>
      <c r="Q11" s="2997"/>
      <c r="R11" s="2997"/>
      <c r="S11" s="2997"/>
      <c r="T11" s="2996"/>
      <c r="U11" s="2995" t="s">
        <v>2807</v>
      </c>
      <c r="V11" s="2997"/>
      <c r="W11" s="2996"/>
      <c r="X11" s="2993" t="s">
        <v>2808</v>
      </c>
      <c r="Y11" s="2993" t="s">
        <v>2809</v>
      </c>
      <c r="Z11" s="2993" t="s">
        <v>2810</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2811</v>
      </c>
      <c r="E12" s="3002" t="s">
        <v>2812</v>
      </c>
      <c r="F12" s="3002" t="s">
        <v>2813</v>
      </c>
      <c r="G12" s="3002" t="s">
        <v>2814</v>
      </c>
      <c r="H12" s="3002" t="s">
        <v>2796</v>
      </c>
      <c r="I12" s="3003" t="s">
        <v>2815</v>
      </c>
      <c r="J12" s="3003" t="s">
        <v>2815</v>
      </c>
      <c r="K12" s="2999"/>
      <c r="L12" s="3000"/>
      <c r="M12" s="3001"/>
      <c r="N12" s="3000"/>
      <c r="O12" s="3003" t="s">
        <v>2816</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2817</v>
      </c>
      <c r="C13" s="3007">
        <v>42301</v>
      </c>
      <c r="D13" s="3008">
        <v>4.3499999999999996</v>
      </c>
      <c r="E13" s="3008">
        <v>4.3499999999999996</v>
      </c>
      <c r="F13" s="3008">
        <v>4.75</v>
      </c>
      <c r="G13" s="3008">
        <v>4.75</v>
      </c>
      <c r="H13" s="3008">
        <v>4.9000000000000004</v>
      </c>
      <c r="I13" s="3008">
        <v>2.75</v>
      </c>
      <c r="J13" s="3008">
        <v>3.25</v>
      </c>
      <c r="K13" s="3005"/>
      <c r="L13" s="3006" t="s">
        <v>2817</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2818</v>
      </c>
      <c r="Y42" s="3012" t="s">
        <v>2818</v>
      </c>
      <c r="Z42" s="3012" t="s">
        <v>2818</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2818</v>
      </c>
      <c r="Y43" s="3012" t="s">
        <v>2818</v>
      </c>
      <c r="Z43" s="3012" t="s">
        <v>2818</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2818</v>
      </c>
      <c r="Y44" s="3012" t="s">
        <v>2818</v>
      </c>
      <c r="Z44" s="3012" t="s">
        <v>2818</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2818</v>
      </c>
      <c r="Y45" s="3012" t="s">
        <v>2818</v>
      </c>
      <c r="Z45" s="3012" t="s">
        <v>2818</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2818</v>
      </c>
      <c r="Y46" s="3012" t="s">
        <v>2818</v>
      </c>
      <c r="Z46" s="3012" t="s">
        <v>2818</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2818</v>
      </c>
      <c r="Y47" s="3012" t="s">
        <v>2818</v>
      </c>
      <c r="Z47" s="3012" t="s">
        <v>2818</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2818</v>
      </c>
      <c r="Y48" s="3012" t="s">
        <v>2818</v>
      </c>
      <c r="Z48" s="3012" t="s">
        <v>2818</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2818</v>
      </c>
      <c r="Y49" s="3012" t="s">
        <v>2818</v>
      </c>
      <c r="Z49" s="3012" t="s">
        <v>2818</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2818</v>
      </c>
      <c r="Y50" s="3012" t="s">
        <v>2818</v>
      </c>
      <c r="Z50" s="3012" t="s">
        <v>2818</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2818</v>
      </c>
      <c r="V51" s="3012" t="s">
        <v>2818</v>
      </c>
      <c r="W51" s="3012" t="s">
        <v>2818</v>
      </c>
      <c r="X51" s="3012" t="s">
        <v>2818</v>
      </c>
      <c r="Y51" s="3012" t="s">
        <v>2818</v>
      </c>
      <c r="Z51" s="3012" t="s">
        <v>2818</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2818</v>
      </c>
      <c r="J55" s="3012" t="s">
        <v>2818</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6" t="s">
        <v>2037</v>
      </c>
      <c r="B1" s="3256"/>
      <c r="C1" s="3256"/>
      <c r="D1" s="3256"/>
      <c r="E1" s="3256"/>
      <c r="F1" s="3256"/>
      <c r="G1" s="3256"/>
      <c r="H1" s="3256"/>
      <c r="I1" s="3256"/>
      <c r="J1" s="3256"/>
      <c r="K1" s="3256"/>
      <c r="L1" s="3256"/>
      <c r="M1" s="3256"/>
      <c r="N1" s="3256"/>
      <c r="O1" s="3256"/>
      <c r="P1" s="3256"/>
      <c r="Q1" s="3256"/>
      <c r="R1" s="3256"/>
    </row>
    <row r="2" spans="1:18">
      <c r="A2" s="1805" t="s">
        <v>2039</v>
      </c>
      <c r="B2" s="1805"/>
      <c r="C2" s="1805"/>
      <c r="D2" s="1805"/>
      <c r="E2" s="1805"/>
      <c r="F2" s="1805"/>
      <c r="G2" s="1805"/>
      <c r="H2" s="1805"/>
      <c r="I2" s="1806"/>
      <c r="J2" s="1806"/>
      <c r="K2" s="1807" t="str">
        <f>"估价期日："&amp;TEXT(项目基本情况!D3,"yyyy年m月d日;;")</f>
        <v>估价期日：2018年5月14日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57" t="s">
        <v>2028</v>
      </c>
      <c r="B3" s="3257" t="s">
        <v>2731</v>
      </c>
      <c r="C3" s="3258" t="s">
        <v>2029</v>
      </c>
      <c r="D3" s="3257" t="s">
        <v>2735</v>
      </c>
      <c r="E3" s="3260" t="s">
        <v>2030</v>
      </c>
      <c r="F3" s="3260"/>
      <c r="G3" s="3260"/>
      <c r="H3" s="3260" t="s">
        <v>2031</v>
      </c>
      <c r="I3" s="3260"/>
      <c r="J3" s="3260"/>
      <c r="K3" s="3258" t="s">
        <v>2032</v>
      </c>
      <c r="L3" s="3258" t="s">
        <v>2033</v>
      </c>
      <c r="M3" s="3257" t="s">
        <v>2732</v>
      </c>
      <c r="N3" s="3259" t="str">
        <f>"（分摊）"&amp;项目基本情况!B16&amp;"国有建设用地使用权面积/㎡"</f>
        <v>（分摊）出让国有建设用地使用权面积/㎡</v>
      </c>
      <c r="O3" s="3257" t="s">
        <v>2062</v>
      </c>
      <c r="P3" s="3258" t="s">
        <v>2042</v>
      </c>
      <c r="Q3" s="3258" t="s">
        <v>2063</v>
      </c>
      <c r="R3" s="3258" t="s">
        <v>2034</v>
      </c>
    </row>
    <row r="4" spans="1:18" ht="36.75" customHeight="1">
      <c r="A4" s="3257"/>
      <c r="B4" s="3257"/>
      <c r="C4" s="3258"/>
      <c r="D4" s="3257"/>
      <c r="E4" s="2671" t="s">
        <v>2041</v>
      </c>
      <c r="F4" s="2671" t="s">
        <v>2744</v>
      </c>
      <c r="G4" s="2671" t="s">
        <v>2035</v>
      </c>
      <c r="H4" s="2671" t="s">
        <v>2036</v>
      </c>
      <c r="I4" s="2671" t="s">
        <v>2745</v>
      </c>
      <c r="J4" s="2671" t="s">
        <v>2035</v>
      </c>
      <c r="K4" s="3258"/>
      <c r="L4" s="3258"/>
      <c r="M4" s="3257"/>
      <c r="N4" s="3259"/>
      <c r="O4" s="3257"/>
      <c r="P4" s="3258"/>
      <c r="Q4" s="3258"/>
      <c r="R4" s="3258"/>
    </row>
    <row r="5" spans="1:18" ht="135" customHeight="1">
      <c r="A5" s="1941" t="s">
        <v>2655</v>
      </c>
      <c r="B5" s="2889" t="s">
        <v>2653</v>
      </c>
      <c r="C5" s="2670">
        <v>22</v>
      </c>
      <c r="D5" s="2669" t="s">
        <v>2654</v>
      </c>
      <c r="E5" s="1808">
        <f>项目基本情况!B12</f>
        <v>0</v>
      </c>
      <c r="F5" s="2669">
        <v>258</v>
      </c>
      <c r="G5" s="1808">
        <f>项目基本情况!B13</f>
        <v>0</v>
      </c>
      <c r="H5" s="2669">
        <v>1.5</v>
      </c>
      <c r="I5" s="2669">
        <v>1.5</v>
      </c>
      <c r="J5" s="2669">
        <v>1.5</v>
      </c>
      <c r="K5" s="1808" t="str">
        <f>"红线外"&amp;项目基本情况!T40&amp;"、宗地红线内"&amp;项目基本情况!B35</f>
        <v>红线外七通、宗地红线内宗地内已开工建设</v>
      </c>
      <c r="L5" s="1808" t="str">
        <f>"红线外"&amp;项目基本情况!T40&amp;"、宗地红线内场地"&amp;项目基本情况!D36</f>
        <v>红线外七通、宗地红线内场地平整</v>
      </c>
      <c r="M5" s="1808">
        <f>IF(项目基本情况!B16="出让",项目基本情况!D20,"——")</f>
        <v>0</v>
      </c>
      <c r="N5" s="1808">
        <f>项目基本情况!C22</f>
        <v>62101.4</v>
      </c>
      <c r="O5" s="1808">
        <f>项目基本情况!C21</f>
        <v>181951.64</v>
      </c>
      <c r="P5" s="1808">
        <f ca="1">结果表!E42</f>
        <v>22584</v>
      </c>
      <c r="Q5" s="1808">
        <f ca="1">结果表!D42</f>
        <v>7708</v>
      </c>
      <c r="R5" s="1809">
        <f ca="1">结果表!C42</f>
        <v>140249</v>
      </c>
    </row>
    <row r="6" spans="1:18">
      <c r="A6" s="3261" t="str">
        <f>IF(项目基本情况!B9="市场价格","——","抵押价格")</f>
        <v>抵押价格</v>
      </c>
      <c r="B6" s="3262"/>
      <c r="C6" s="3262"/>
      <c r="D6" s="3262"/>
      <c r="E6" s="3262"/>
      <c r="F6" s="3262"/>
      <c r="G6" s="3262"/>
      <c r="H6" s="3262"/>
      <c r="I6" s="3262"/>
      <c r="J6" s="3262"/>
      <c r="K6" s="3262"/>
      <c r="L6" s="3262"/>
      <c r="M6" s="3262"/>
      <c r="N6" s="3262"/>
      <c r="O6" s="3262"/>
      <c r="P6" s="3262"/>
      <c r="Q6" s="3263"/>
      <c r="R6" s="1810">
        <f ca="1">结果表!O39</f>
        <v>140249</v>
      </c>
    </row>
    <row r="7" spans="1:18">
      <c r="A7" s="3261" t="str">
        <f>IF(项目基本情况!B9="市场价格","——",IF(项目基本情况!E8="已注销及未注销","抵押担保权已注销时的抵押价格","——"))</f>
        <v>——</v>
      </c>
      <c r="B7" s="3262"/>
      <c r="C7" s="3262"/>
      <c r="D7" s="3262"/>
      <c r="E7" s="3262"/>
      <c r="F7" s="3262"/>
      <c r="G7" s="3262"/>
      <c r="H7" s="3262"/>
      <c r="I7" s="3262"/>
      <c r="J7" s="3262"/>
      <c r="K7" s="3262"/>
      <c r="L7" s="3262"/>
      <c r="M7" s="3262"/>
      <c r="N7" s="3262"/>
      <c r="O7" s="3262"/>
      <c r="P7" s="3262"/>
      <c r="Q7" s="3263"/>
      <c r="R7" s="1810" t="str">
        <f>结果表!O40</f>
        <v>——</v>
      </c>
    </row>
    <row r="8" spans="1:18">
      <c r="A8" s="3261">
        <f>IF(项目基本情况!B9="市场价格","——",项目基本情况!E9)</f>
        <v>0</v>
      </c>
      <c r="B8" s="3262"/>
      <c r="C8" s="3262"/>
      <c r="D8" s="3262"/>
      <c r="E8" s="3262"/>
      <c r="F8" s="3262"/>
      <c r="G8" s="3262"/>
      <c r="H8" s="3262"/>
      <c r="I8" s="3262"/>
      <c r="J8" s="3262"/>
      <c r="K8" s="3262"/>
      <c r="L8" s="3262"/>
      <c r="M8" s="3262"/>
      <c r="N8" s="3262"/>
      <c r="O8" s="3262"/>
      <c r="P8" s="3262"/>
      <c r="Q8" s="3263"/>
      <c r="R8" s="1810" t="str">
        <f>结果表!O41</f>
        <v>——</v>
      </c>
    </row>
    <row r="9" spans="1:18">
      <c r="A9" s="1811" t="s">
        <v>2040</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2027</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65" t="s">
        <v>2064</v>
      </c>
      <c r="B1" s="3265"/>
      <c r="C1" s="3265"/>
      <c r="D1" s="3265"/>
    </row>
    <row r="2" spans="1:4" ht="47.25" customHeight="1">
      <c r="A2" s="3266" t="str">
        <f>"1.权利限制："&amp;项目基本情况!L24&amp;"未设定租赁等其他他项权利。"</f>
        <v>1.权利限制：根据估价对象《不动产权证书》原件、《国有土地使用权》复印件，截至估价期日，估价对象抵押权未见登记。未设定租赁等其他他项权利。</v>
      </c>
      <c r="B2" s="3266"/>
      <c r="C2" s="3266"/>
      <c r="D2" s="3266"/>
    </row>
    <row r="3" spans="1:4" ht="48" customHeight="1">
      <c r="A3" s="3265"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65"/>
      <c r="C3" s="3265"/>
      <c r="D3" s="3265"/>
    </row>
    <row r="4" spans="1:4" ht="36.75" customHeight="1">
      <c r="A4" s="3265" t="str">
        <f>"3.估价规划限制条件：详见"&amp;项目基本情况!E21&amp;"。"</f>
        <v>3.估价规划限制条件：详见《建设工程规划许可证》[]、《出让合同》[]。</v>
      </c>
      <c r="B4" s="3265"/>
      <c r="C4" s="3265"/>
      <c r="D4" s="3265"/>
    </row>
    <row r="5" spans="1:4">
      <c r="A5" s="3264" t="s">
        <v>2065</v>
      </c>
      <c r="B5" s="3264"/>
      <c r="C5" s="3264"/>
      <c r="D5" s="3264"/>
    </row>
    <row r="6" spans="1:4">
      <c r="A6" s="3265" t="s">
        <v>2043</v>
      </c>
      <c r="B6" s="3265"/>
      <c r="C6" s="3265"/>
      <c r="D6" s="3265"/>
    </row>
    <row r="7" spans="1:4" ht="33" customHeight="1">
      <c r="A7" s="3265" t="s">
        <v>2575</v>
      </c>
      <c r="B7" s="3265"/>
      <c r="C7" s="3265"/>
      <c r="D7" s="3265"/>
    </row>
    <row r="8" spans="1:4" ht="32.25" customHeight="1">
      <c r="A8" s="326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65"/>
      <c r="C8" s="3265"/>
      <c r="D8" s="3265"/>
    </row>
    <row r="9" spans="1:4" ht="33.75" customHeight="1">
      <c r="A9" s="3265"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65"/>
      <c r="C9" s="3265"/>
      <c r="D9" s="3265"/>
    </row>
    <row r="10" spans="1:4">
      <c r="A10" s="3265" t="str">
        <f>IF(项目基本情况!B8="抵押","4.估价师所知悉的法定优先受偿款情况为：","——")</f>
        <v>4.估价师所知悉的法定优先受偿款情况为：</v>
      </c>
      <c r="B10" s="3265"/>
      <c r="C10" s="3265"/>
      <c r="D10" s="3265"/>
    </row>
    <row r="11" spans="1:4" ht="37.5" customHeight="1">
      <c r="A11" s="3267" t="str">
        <f>IF(项目基本情况!B8="抵押","（1）"&amp;CONCATENATE(项目基本情况!L24,项目基本情况!L25,项目基本情况!L26),"——")</f>
        <v>（1）根据估价对象《不动产权证书》原件、《国有土地使用权》复印件，截至估价期日，估价对象抵押权未见登记。</v>
      </c>
      <c r="B11" s="3267"/>
      <c r="C11" s="3267"/>
      <c r="D11" s="3267"/>
    </row>
    <row r="12" spans="1:4" ht="168" customHeight="1">
      <c r="A12" s="3264" t="s">
        <v>2067</v>
      </c>
      <c r="B12" s="3264"/>
      <c r="C12" s="3264"/>
      <c r="D12" s="3264"/>
    </row>
    <row r="13" spans="1:4">
      <c r="A13" s="3268" t="s">
        <v>2746</v>
      </c>
      <c r="B13" s="3268"/>
      <c r="C13" s="3268"/>
      <c r="D13" s="3268"/>
    </row>
    <row r="14" spans="1:4">
      <c r="A14" s="3267" t="str">
        <f>IF(项目基本情况!B8="抵押","综上，"&amp;结果表!K47,"——")</f>
        <v>综上，本次评估不存在估价师知悉的法定优先受偿款</v>
      </c>
      <c r="B14" s="3267"/>
      <c r="C14" s="3267"/>
      <c r="D14" s="3267"/>
    </row>
    <row r="15" spans="1:4" ht="58.5" customHeight="1">
      <c r="A15" s="326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65"/>
      <c r="C15" s="3265"/>
      <c r="D15" s="3265"/>
    </row>
    <row r="16" spans="1:4" ht="70.5" customHeight="1">
      <c r="A16" s="326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65"/>
      <c r="C16" s="3265"/>
      <c r="D16" s="3265"/>
    </row>
    <row r="17" spans="1:4">
      <c r="A17" s="3265" t="s">
        <v>2702</v>
      </c>
      <c r="B17" s="3265"/>
      <c r="C17" s="3265"/>
      <c r="D17" s="3265"/>
    </row>
    <row r="18" spans="1:4">
      <c r="A18" s="3265" t="s">
        <v>2694</v>
      </c>
      <c r="B18" s="3265"/>
      <c r="C18" s="3265"/>
      <c r="D18" s="3265"/>
    </row>
    <row r="19" spans="1:4">
      <c r="A19" s="2890" t="s">
        <v>2695</v>
      </c>
      <c r="B19" s="2890" t="s">
        <v>2696</v>
      </c>
      <c r="C19" s="2890" t="s">
        <v>2697</v>
      </c>
      <c r="D19" s="2890" t="s">
        <v>2698</v>
      </c>
    </row>
    <row r="20" spans="1:4">
      <c r="A20" s="2890" t="str">
        <f>项目基本情况!B4</f>
        <v>土地估价师</v>
      </c>
      <c r="B20" s="2890">
        <f>项目基本情况!C4</f>
        <v>0</v>
      </c>
      <c r="C20" s="2892"/>
      <c r="D20" s="1798" t="s">
        <v>2703</v>
      </c>
    </row>
    <row r="21" spans="1:4">
      <c r="A21" s="2890" t="str">
        <f>项目基本情况!D4</f>
        <v>土地估价师</v>
      </c>
      <c r="B21" s="2890">
        <f>项目基本情况!E4</f>
        <v>0</v>
      </c>
      <c r="C21" s="2892"/>
      <c r="D21" s="1798" t="s">
        <v>2704</v>
      </c>
    </row>
    <row r="23" spans="1:4">
      <c r="A23" s="3265" t="s">
        <v>2699</v>
      </c>
      <c r="B23" s="3265"/>
      <c r="C23" s="3265"/>
      <c r="D23" s="3265"/>
    </row>
    <row r="24" spans="1:4">
      <c r="A24" s="2890" t="s">
        <v>2695</v>
      </c>
      <c r="B24" s="2890" t="s">
        <v>2700</v>
      </c>
      <c r="C24" s="2890" t="s">
        <v>2697</v>
      </c>
      <c r="D24" s="2890" t="s">
        <v>2698</v>
      </c>
    </row>
    <row r="25" spans="1:4">
      <c r="A25" s="2893" t="s">
        <v>2701</v>
      </c>
      <c r="B25" s="2890" t="s">
        <v>948</v>
      </c>
      <c r="C25" s="2892"/>
      <c r="D25" s="1798" t="s">
        <v>2704</v>
      </c>
    </row>
    <row r="29" spans="1:4">
      <c r="D29" s="2891" t="s">
        <v>2038</v>
      </c>
    </row>
    <row r="30" spans="1:4">
      <c r="D30" s="2894">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25">
      <c r="A15" s="3276" t="s">
        <v>53</v>
      </c>
      <c r="B15" s="3277" t="s">
        <v>842</v>
      </c>
      <c r="C15" s="3273"/>
    </row>
    <row r="16" spans="1:7" ht="14.25">
      <c r="A16" s="3276"/>
      <c r="B16" s="3274" t="s">
        <v>54</v>
      </c>
      <c r="C16" s="1171" t="s">
        <v>53</v>
      </c>
    </row>
    <row r="17" spans="1:3" ht="14.25">
      <c r="A17" s="3276"/>
      <c r="B17" s="3274"/>
      <c r="C17" s="1171" t="s">
        <v>55</v>
      </c>
    </row>
    <row r="18" spans="1:3" ht="14.25">
      <c r="A18" s="3276"/>
      <c r="B18" s="3274"/>
      <c r="C18" s="1171" t="s">
        <v>56</v>
      </c>
    </row>
    <row r="19" spans="1:3" ht="14.25">
      <c r="A19" s="3276"/>
      <c r="B19" s="3272" t="s">
        <v>57</v>
      </c>
      <c r="C19" s="3273"/>
    </row>
    <row r="20" spans="1:3" ht="14.25">
      <c r="A20" s="1172" t="s">
        <v>58</v>
      </c>
      <c r="B20" s="1173"/>
      <c r="C20" s="1174"/>
    </row>
    <row r="21" spans="1:3" ht="14.25">
      <c r="A21" s="3275" t="s">
        <v>59</v>
      </c>
      <c r="B21" s="3272" t="s">
        <v>60</v>
      </c>
      <c r="C21" s="3273"/>
    </row>
    <row r="22" spans="1:3" ht="14.25">
      <c r="A22" s="3275"/>
      <c r="B22" s="3272" t="s">
        <v>61</v>
      </c>
      <c r="C22" s="3273"/>
    </row>
    <row r="23" spans="1:3" ht="14.25">
      <c r="A23" s="3275"/>
      <c r="B23" s="3272" t="s">
        <v>62</v>
      </c>
      <c r="C23" s="3273"/>
    </row>
    <row r="24" spans="1:3" ht="14.25">
      <c r="A24" s="3275"/>
      <c r="B24" s="3278" t="s">
        <v>63</v>
      </c>
      <c r="C24" s="1175" t="s">
        <v>833</v>
      </c>
    </row>
    <row r="25" spans="1:3" ht="14.25">
      <c r="A25" s="3275"/>
      <c r="B25" s="3279"/>
      <c r="C25" s="1175" t="s">
        <v>834</v>
      </c>
    </row>
    <row r="26" spans="1:3" ht="14.25">
      <c r="A26" s="3275"/>
      <c r="B26" s="3279"/>
      <c r="C26" s="1175" t="s">
        <v>835</v>
      </c>
    </row>
    <row r="27" spans="1:3" ht="14.25">
      <c r="A27" s="3275"/>
      <c r="B27" s="3279"/>
      <c r="C27" s="1175" t="s">
        <v>836</v>
      </c>
    </row>
    <row r="28" spans="1:3" ht="14.25">
      <c r="A28" s="3275"/>
      <c r="B28" s="3279"/>
      <c r="C28" s="1175" t="s">
        <v>837</v>
      </c>
    </row>
    <row r="29" spans="1:3" ht="14.25">
      <c r="A29" s="3275"/>
      <c r="B29" s="3279"/>
      <c r="C29" s="1175" t="s">
        <v>838</v>
      </c>
    </row>
    <row r="30" spans="1:3" ht="14.25">
      <c r="A30" s="3275"/>
      <c r="B30" s="3279"/>
      <c r="C30" s="1175" t="s">
        <v>839</v>
      </c>
    </row>
    <row r="31" spans="1:3" ht="14.25">
      <c r="A31" s="3275"/>
      <c r="B31" s="3279"/>
      <c r="C31" s="1175" t="s">
        <v>840</v>
      </c>
    </row>
    <row r="32" spans="1:3" ht="14.25">
      <c r="A32" s="3275"/>
      <c r="B32" s="3279"/>
      <c r="C32" s="1175" t="s">
        <v>1643</v>
      </c>
    </row>
    <row r="33" spans="1:3" ht="14.25">
      <c r="A33" s="3275"/>
      <c r="B33" s="3269" t="s">
        <v>1649</v>
      </c>
      <c r="C33" s="1175" t="s">
        <v>1644</v>
      </c>
    </row>
    <row r="34" spans="1:3" ht="14.25">
      <c r="A34" s="3275"/>
      <c r="B34" s="3270"/>
      <c r="C34" s="1180" t="s">
        <v>1645</v>
      </c>
    </row>
    <row r="35" spans="1:3" ht="14.25">
      <c r="A35" s="3275"/>
      <c r="B35" s="3270"/>
      <c r="C35" s="1181" t="s">
        <v>1646</v>
      </c>
    </row>
    <row r="36" spans="1:3" ht="14.25">
      <c r="A36" s="3275"/>
      <c r="B36" s="3270"/>
      <c r="C36" s="1181" t="s">
        <v>1647</v>
      </c>
    </row>
    <row r="37" spans="1:3" ht="14.25">
      <c r="A37" s="3275"/>
      <c r="B37" s="3271"/>
      <c r="C37" s="1182" t="s">
        <v>1648</v>
      </c>
    </row>
    <row r="38" spans="1:3">
      <c r="A38" s="1176" t="s">
        <v>841</v>
      </c>
    </row>
    <row r="41" spans="1:3">
      <c r="A41" s="1176" t="s">
        <v>68</v>
      </c>
    </row>
    <row r="42" spans="1:3" ht="14.25">
      <c r="A42" s="1177" t="s">
        <v>849</v>
      </c>
    </row>
    <row r="43" spans="1:3" ht="14.25">
      <c r="A43" s="1178" t="s">
        <v>69</v>
      </c>
    </row>
    <row r="44" spans="1:3" ht="14.25">
      <c r="A44" s="1177" t="s">
        <v>848</v>
      </c>
    </row>
    <row r="45" spans="1:3" ht="14.25">
      <c r="A45" s="1179" t="s">
        <v>850</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9" customWidth="1"/>
    <col min="2" max="5" width="22.625" style="2339"/>
    <col min="6" max="6" width="25.625" style="2339" customWidth="1"/>
    <col min="7" max="16384" width="22.625" style="2339"/>
  </cols>
  <sheetData>
    <row r="2" spans="1:6" ht="20.25" customHeight="1">
      <c r="A2" s="2336" t="s">
        <v>1904</v>
      </c>
      <c r="B2" s="1654">
        <f ca="1">TODAY()</f>
        <v>43236</v>
      </c>
      <c r="C2" s="2337" t="s">
        <v>1905</v>
      </c>
      <c r="D2" s="2338"/>
    </row>
    <row r="3" spans="1:6" ht="20.25" customHeight="1">
      <c r="A3" s="2340" t="s">
        <v>1906</v>
      </c>
      <c r="B3" s="2341" t="s">
        <v>1907</v>
      </c>
      <c r="C3" s="2341" t="s">
        <v>1908</v>
      </c>
      <c r="D3" s="2342" t="s">
        <v>1909</v>
      </c>
      <c r="E3" s="2341" t="s">
        <v>1910</v>
      </c>
      <c r="F3" s="2341" t="s">
        <v>1908</v>
      </c>
    </row>
    <row r="4" spans="1:6" ht="20.25" customHeight="1">
      <c r="A4" s="2341" t="s">
        <v>1911</v>
      </c>
      <c r="B4" s="2341">
        <f ca="1">IF(C4&lt;B2,"已过期",1119970066)</f>
        <v>1119970066</v>
      </c>
      <c r="C4" s="3028">
        <v>43849</v>
      </c>
      <c r="D4" s="2341" t="s">
        <v>1911</v>
      </c>
      <c r="E4" s="2341">
        <f ca="1">IF(F4&lt;B2,"已过期",96010014)</f>
        <v>96010014</v>
      </c>
      <c r="F4" s="3029">
        <v>47118</v>
      </c>
    </row>
    <row r="5" spans="1:6" ht="20.25" customHeight="1">
      <c r="A5" s="2341" t="s">
        <v>1912</v>
      </c>
      <c r="B5" s="2341">
        <f ca="1">IF(C5&lt;B2,"已过期",1119970074)</f>
        <v>1119970074</v>
      </c>
      <c r="C5" s="3028">
        <v>43849</v>
      </c>
      <c r="D5" s="2341" t="s">
        <v>1912</v>
      </c>
      <c r="E5" s="2341">
        <f ca="1">IF(F5&lt;B2,"已过期",2002110027)</f>
        <v>2002110027</v>
      </c>
      <c r="F5" s="3029">
        <v>46752</v>
      </c>
    </row>
    <row r="6" spans="1:6" ht="20.25" customHeight="1">
      <c r="A6" s="2341" t="s">
        <v>1913</v>
      </c>
      <c r="B6" s="2341">
        <f ca="1">IF(C6&lt;B2,"已过期",1119970111)</f>
        <v>1119970111</v>
      </c>
      <c r="C6" s="3028">
        <v>43849</v>
      </c>
      <c r="D6" s="2341" t="s">
        <v>1913</v>
      </c>
      <c r="E6" s="2341">
        <f ca="1">IF(F6&lt;B2,"已过期",94010078)</f>
        <v>94010078</v>
      </c>
      <c r="F6" s="3029">
        <v>46387</v>
      </c>
    </row>
    <row r="7" spans="1:6" ht="20.25" customHeight="1">
      <c r="A7" s="2341" t="s">
        <v>1914</v>
      </c>
      <c r="B7" s="2341">
        <f ca="1">IF(C7&lt;B2,"已过期",1120050019)</f>
        <v>1120050019</v>
      </c>
      <c r="C7" s="3028">
        <v>43359</v>
      </c>
      <c r="D7" s="2341" t="s">
        <v>1914</v>
      </c>
      <c r="E7" s="2341">
        <f ca="1">IF(F7&lt;B2,"已过期",2002110030)</f>
        <v>2002110030</v>
      </c>
      <c r="F7" s="3029">
        <v>46387</v>
      </c>
    </row>
    <row r="8" spans="1:6" ht="20.25" customHeight="1">
      <c r="A8" s="2341" t="s">
        <v>1915</v>
      </c>
      <c r="B8" s="2341">
        <f ca="1">IF(C8&lt;B2,"已过期",1120000080)</f>
        <v>1120000080</v>
      </c>
      <c r="C8" s="3028">
        <v>43849</v>
      </c>
      <c r="D8" s="2341" t="s">
        <v>1915</v>
      </c>
      <c r="E8" s="2341">
        <f ca="1">IF(F8&lt;B2,"已过期",2000110082)</f>
        <v>2000110082</v>
      </c>
      <c r="F8" s="3029">
        <v>46387</v>
      </c>
    </row>
    <row r="9" spans="1:6" ht="20.25" customHeight="1">
      <c r="A9" s="2341" t="s">
        <v>1916</v>
      </c>
      <c r="B9" s="2341">
        <f ca="1">IF(C9&lt;B2,"已过期",1419970001)</f>
        <v>1419970001</v>
      </c>
      <c r="C9" s="3028">
        <v>43867</v>
      </c>
      <c r="D9" s="2341" t="s">
        <v>1916</v>
      </c>
      <c r="E9" s="2341">
        <f ca="1">IF(F9&lt;B2,"已过期",2002110125)</f>
        <v>2002110125</v>
      </c>
      <c r="F9" s="3029">
        <v>47118</v>
      </c>
    </row>
    <row r="10" spans="1:6" ht="20.25" customHeight="1">
      <c r="A10" s="2341" t="s">
        <v>1917</v>
      </c>
      <c r="B10" s="2341">
        <f ca="1">IF(C10&lt;B2,"已过期",1120060040)</f>
        <v>1120060040</v>
      </c>
      <c r="C10" s="3028">
        <v>43483</v>
      </c>
      <c r="D10" s="2341" t="s">
        <v>1917</v>
      </c>
      <c r="E10" s="2341">
        <f ca="1">IF(F10&lt;B2,"已过期",2004110096)</f>
        <v>2004110096</v>
      </c>
      <c r="F10" s="3029">
        <v>47118</v>
      </c>
    </row>
    <row r="11" spans="1:6" ht="20.25" customHeight="1">
      <c r="A11" s="2341" t="s">
        <v>1918</v>
      </c>
      <c r="B11" s="2341">
        <f ca="1">IF(C11&lt;B2,"已过期",1120100036)</f>
        <v>1120100036</v>
      </c>
      <c r="C11" s="3028">
        <v>43622</v>
      </c>
      <c r="D11" s="2341" t="s">
        <v>1918</v>
      </c>
      <c r="E11" s="2341">
        <f ca="1">IF(F11&lt;B2,"已过期",2010110070)</f>
        <v>2010110070</v>
      </c>
      <c r="F11" s="3029">
        <v>47907</v>
      </c>
    </row>
    <row r="12" spans="1:6" ht="20.25" customHeight="1">
      <c r="A12" s="2341" t="s">
        <v>2980</v>
      </c>
      <c r="B12" s="2341">
        <v>1120110054</v>
      </c>
      <c r="C12" s="3028">
        <v>43937</v>
      </c>
      <c r="D12" s="2341" t="s">
        <v>2980</v>
      </c>
      <c r="E12" s="2341">
        <v>2008110060</v>
      </c>
      <c r="F12" s="3029">
        <v>47177</v>
      </c>
    </row>
    <row r="13" spans="1:6" ht="20.25" customHeight="1">
      <c r="A13" s="2341" t="s">
        <v>1919</v>
      </c>
      <c r="B13" s="2341">
        <f ca="1">IF(C13&lt;B2,"已过期",1120070131)</f>
        <v>1120070131</v>
      </c>
      <c r="C13" s="3028">
        <v>43814</v>
      </c>
      <c r="D13" s="2341" t="s">
        <v>1919</v>
      </c>
      <c r="E13" s="2341">
        <v>2014110011</v>
      </c>
      <c r="F13" s="3029">
        <v>49302</v>
      </c>
    </row>
    <row r="14" spans="1:6" ht="20.25" customHeight="1">
      <c r="A14" s="2341" t="s">
        <v>1920</v>
      </c>
      <c r="B14" s="2341">
        <f ca="1">IF(C14&lt;B2,"已过期",1120130020)</f>
        <v>1120130020</v>
      </c>
      <c r="C14" s="3028">
        <v>43622</v>
      </c>
      <c r="D14" s="2341"/>
      <c r="E14" s="2341"/>
      <c r="F14" s="2341"/>
    </row>
    <row r="15" spans="1:6" ht="20.25" customHeight="1">
      <c r="A15" s="2341" t="s">
        <v>2574</v>
      </c>
      <c r="B15" s="2341">
        <v>1120070085</v>
      </c>
      <c r="C15" s="3028">
        <v>43814</v>
      </c>
      <c r="D15" s="2341" t="s">
        <v>2574</v>
      </c>
      <c r="E15" s="2341">
        <v>2004110128</v>
      </c>
      <c r="F15" s="3029">
        <v>47118</v>
      </c>
    </row>
    <row r="16" spans="1:6" ht="20.25" customHeight="1">
      <c r="A16" s="2341" t="s">
        <v>1921</v>
      </c>
      <c r="B16" s="2341">
        <f ca="1">IF(C16&lt;B2,"已过期",1120140022)</f>
        <v>1120140022</v>
      </c>
      <c r="C16" s="3028">
        <v>44029</v>
      </c>
      <c r="D16" s="2341" t="s">
        <v>1921</v>
      </c>
      <c r="E16" s="2341">
        <f ca="1">IF(F16&lt;B2,"已过期",2008110059)</f>
        <v>2008110059</v>
      </c>
      <c r="F16" s="3029">
        <v>47177</v>
      </c>
    </row>
    <row r="17" spans="1:7" ht="20.25" customHeight="1">
      <c r="A17" s="2341"/>
      <c r="B17" s="2341"/>
      <c r="C17" s="3028"/>
      <c r="D17" s="2341"/>
      <c r="E17" s="2341"/>
      <c r="F17" s="3029"/>
    </row>
    <row r="18" spans="1:7" ht="20.25" customHeight="1">
      <c r="A18" s="2341"/>
      <c r="B18" s="2341"/>
      <c r="C18" s="3028"/>
      <c r="D18" s="2341"/>
      <c r="E18" s="2341"/>
      <c r="F18" s="3029"/>
    </row>
    <row r="19" spans="1:7" ht="20.25" customHeight="1">
      <c r="A19" s="2341"/>
      <c r="B19" s="2341"/>
      <c r="C19" s="3028"/>
      <c r="D19" s="2341"/>
      <c r="E19" s="2341"/>
      <c r="F19" s="2341"/>
    </row>
    <row r="20" spans="1:7" ht="20.25" customHeight="1">
      <c r="A20" s="2341"/>
      <c r="B20" s="2341"/>
      <c r="C20" s="3028"/>
      <c r="D20" s="2341"/>
      <c r="E20" s="2341"/>
      <c r="F20" s="2341"/>
    </row>
    <row r="21" spans="1:7" ht="20.25" customHeight="1">
      <c r="A21" s="2341"/>
      <c r="B21" s="2341"/>
      <c r="C21" s="3028"/>
      <c r="D21" s="2341" t="s">
        <v>1922</v>
      </c>
      <c r="E21" s="2341">
        <f ca="1">IF(F21&lt;B2,"已过期",2011110090)</f>
        <v>2011110090</v>
      </c>
      <c r="F21" s="3029">
        <v>48302</v>
      </c>
    </row>
    <row r="22" spans="1:7" ht="20.25" customHeight="1">
      <c r="A22" s="2341" t="s">
        <v>1923</v>
      </c>
      <c r="B22" s="2341">
        <f ca="1">IF(C22&lt;B2,"已过期",1120020033)</f>
        <v>1120020033</v>
      </c>
      <c r="C22" s="3028">
        <v>43304</v>
      </c>
      <c r="D22" s="2341" t="s">
        <v>1923</v>
      </c>
      <c r="E22" s="2341">
        <f ca="1">IF(F22&lt;B2,"已过期",2000110137)</f>
        <v>2000110137</v>
      </c>
      <c r="F22" s="3029">
        <v>46387</v>
      </c>
    </row>
    <row r="23" spans="1:7" ht="20.25" customHeight="1">
      <c r="A23" s="2341" t="s">
        <v>1924</v>
      </c>
      <c r="B23" s="2341">
        <f ca="1">IF(C23&lt;B2,"已过期",1120130048)</f>
        <v>1120130048</v>
      </c>
      <c r="C23" s="3028">
        <v>43686</v>
      </c>
      <c r="D23" s="2341"/>
      <c r="E23" s="2341"/>
      <c r="F23" s="2341"/>
    </row>
    <row r="24" spans="1:7" s="2345" customFormat="1" ht="20.25" customHeight="1">
      <c r="A24" s="2343" t="s">
        <v>2052</v>
      </c>
      <c r="B24" s="2343" t="s">
        <v>2052</v>
      </c>
      <c r="C24" s="3028"/>
      <c r="D24" s="3030" t="s">
        <v>2052</v>
      </c>
      <c r="E24" s="2343" t="s">
        <v>2052</v>
      </c>
      <c r="F24" s="2344"/>
    </row>
    <row r="25" spans="1:7" ht="20.25" customHeight="1">
      <c r="A25" s="3280" t="s">
        <v>1925</v>
      </c>
      <c r="B25" s="3280"/>
      <c r="C25" s="3280"/>
      <c r="D25" s="3280"/>
      <c r="E25" s="3280"/>
      <c r="F25" s="3280"/>
      <c r="G25" s="3280"/>
    </row>
    <row r="26" spans="1:7" ht="20.25" customHeight="1">
      <c r="A26" s="3281" t="s">
        <v>1926</v>
      </c>
      <c r="B26" s="3281"/>
      <c r="C26" s="3281"/>
      <c r="D26" s="3281" t="s">
        <v>1927</v>
      </c>
      <c r="E26" s="3281"/>
      <c r="F26" s="3281"/>
    </row>
    <row r="27" spans="1:7" s="2349" customFormat="1" ht="20.25" customHeight="1">
      <c r="A27" s="2346" t="s">
        <v>1928</v>
      </c>
      <c r="B27" s="2347" t="s">
        <v>1929</v>
      </c>
      <c r="C27" s="2347" t="s">
        <v>1930</v>
      </c>
      <c r="D27" s="2348" t="s">
        <v>1928</v>
      </c>
      <c r="E27" s="2347" t="s">
        <v>1929</v>
      </c>
      <c r="F27" s="2347" t="s">
        <v>1930</v>
      </c>
    </row>
    <row r="28" spans="1:7" s="2349" customFormat="1" ht="20.25" customHeight="1">
      <c r="A28" s="2350" t="s">
        <v>1931</v>
      </c>
      <c r="B28" s="2350" t="s">
        <v>1932</v>
      </c>
      <c r="C28" s="2351">
        <v>43725</v>
      </c>
      <c r="D28" s="2350" t="s">
        <v>1933</v>
      </c>
      <c r="E28" s="2350" t="s">
        <v>1934</v>
      </c>
      <c r="F28" s="2352">
        <v>44377</v>
      </c>
    </row>
    <row r="29" spans="1:7" s="2349" customFormat="1" ht="20.25" customHeight="1">
      <c r="A29" s="2350"/>
      <c r="B29" s="2350"/>
      <c r="C29" s="2353"/>
      <c r="D29" s="2350" t="s">
        <v>1935</v>
      </c>
      <c r="E29" s="2354" t="s">
        <v>2944</v>
      </c>
      <c r="F29" s="2355">
        <v>43281</v>
      </c>
    </row>
    <row r="30" spans="1:7" ht="20.25" customHeight="1">
      <c r="C30" s="2356"/>
      <c r="D30" s="2356"/>
    </row>
  </sheetData>
  <sheetProtection sheet="1" objects="1" scenarios="1"/>
  <mergeCells count="3">
    <mergeCell ref="A25:G25"/>
    <mergeCell ref="A26:C26"/>
    <mergeCell ref="D26:F26"/>
  </mergeCells>
  <phoneticPr fontId="3" type="noConversion"/>
  <conditionalFormatting sqref="C24:D24">
    <cfRule type="expression" dxfId="212" priority="82">
      <formula>AND($C24-TODAY()&lt;30,TODAY()&lt;$C24)</formula>
    </cfRule>
  </conditionalFormatting>
  <conditionalFormatting sqref="C28">
    <cfRule type="expression" dxfId="211" priority="81">
      <formula>AND($C28-TODAY()&lt;30,TODAY()&lt;$C28)</formula>
    </cfRule>
  </conditionalFormatting>
  <conditionalFormatting sqref="C28 F4">
    <cfRule type="cellIs" dxfId="210" priority="83" stopIfTrue="1" operator="lessThan">
      <formula>$B$2</formula>
    </cfRule>
  </conditionalFormatting>
  <conditionalFormatting sqref="F5">
    <cfRule type="cellIs" dxfId="209" priority="79" stopIfTrue="1" operator="lessThan">
      <formula>$B$2</formula>
    </cfRule>
  </conditionalFormatting>
  <conditionalFormatting sqref="F6 F8 F10">
    <cfRule type="cellIs" dxfId="208" priority="77" stopIfTrue="1" operator="lessThan">
      <formula>$B$2</formula>
    </cfRule>
  </conditionalFormatting>
  <conditionalFormatting sqref="C24:D24">
    <cfRule type="expression" dxfId="207" priority="75">
      <formula>AND($C24-TODAY()&lt;30,TODAY()&lt;$C24)</formula>
    </cfRule>
  </conditionalFormatting>
  <conditionalFormatting sqref="F7 F9 F11 C24:D24">
    <cfRule type="cellIs" dxfId="206" priority="76" stopIfTrue="1" operator="lessThan">
      <formula>$B$2</formula>
    </cfRule>
  </conditionalFormatting>
  <conditionalFormatting sqref="F16">
    <cfRule type="cellIs" dxfId="205" priority="49" stopIfTrue="1" operator="lessThan">
      <formula>$B$2</formula>
    </cfRule>
  </conditionalFormatting>
  <conditionalFormatting sqref="F18">
    <cfRule type="cellIs" dxfId="204" priority="48" stopIfTrue="1" operator="lessThan">
      <formula>$B$2</formula>
    </cfRule>
  </conditionalFormatting>
  <conditionalFormatting sqref="F22">
    <cfRule type="cellIs" dxfId="203" priority="47" stopIfTrue="1" operator="lessThan">
      <formula>$B$2</formula>
    </cfRule>
  </conditionalFormatting>
  <conditionalFormatting sqref="F21">
    <cfRule type="cellIs" dxfId="202" priority="46" stopIfTrue="1" operator="lessThan">
      <formula>$B$2</formula>
    </cfRule>
  </conditionalFormatting>
  <conditionalFormatting sqref="F17">
    <cfRule type="cellIs" dxfId="201" priority="45" stopIfTrue="1" operator="lessThan">
      <formula>$B$2</formula>
    </cfRule>
  </conditionalFormatting>
  <conditionalFormatting sqref="B4:B11 E4:E11 E16:E23 B16:B23 B13:B14 E13:E14">
    <cfRule type="cellIs" dxfId="200" priority="44" stopIfTrue="1" operator="equal">
      <formula>"已过期"</formula>
    </cfRule>
  </conditionalFormatting>
  <conditionalFormatting sqref="F28">
    <cfRule type="cellIs" dxfId="199" priority="41" stopIfTrue="1" operator="lessThan">
      <formula>$B$2</formula>
    </cfRule>
  </conditionalFormatting>
  <conditionalFormatting sqref="F29">
    <cfRule type="cellIs" dxfId="198" priority="39" stopIfTrue="1" operator="lessThan">
      <formula>$B$2</formula>
    </cfRule>
  </conditionalFormatting>
  <conditionalFormatting sqref="F28">
    <cfRule type="expression" dxfId="197" priority="85">
      <formula>AND($E28-TODAY()&lt;30,TODAY()&lt;$E28)</formula>
    </cfRule>
  </conditionalFormatting>
  <conditionalFormatting sqref="F29">
    <cfRule type="expression" dxfId="196" priority="86" stopIfTrue="1">
      <formula>AND($E29-TODAY()&lt;30,TODAY()&lt;$E29)</formula>
    </cfRule>
  </conditionalFormatting>
  <conditionalFormatting sqref="C5">
    <cfRule type="expression" dxfId="195" priority="36">
      <formula>AND($C5-TODAY()&lt;30,TODAY()&lt;$C5)</formula>
    </cfRule>
  </conditionalFormatting>
  <conditionalFormatting sqref="C5">
    <cfRule type="cellIs" dxfId="194" priority="37" stopIfTrue="1" operator="lessThan">
      <formula>$B$2</formula>
    </cfRule>
  </conditionalFormatting>
  <conditionalFormatting sqref="C4:C6">
    <cfRule type="expression" dxfId="193" priority="34">
      <formula>AND($C4-TODAY()&lt;30,TODAY()&lt;$C4)</formula>
    </cfRule>
  </conditionalFormatting>
  <conditionalFormatting sqref="C4:C6">
    <cfRule type="cellIs" dxfId="192" priority="35" stopIfTrue="1" operator="lessThan">
      <formula>$B$2</formula>
    </cfRule>
  </conditionalFormatting>
  <conditionalFormatting sqref="C8:C9">
    <cfRule type="expression" dxfId="191" priority="32">
      <formula>AND($C8-TODAY()&lt;30,TODAY()&lt;$C8)</formula>
    </cfRule>
  </conditionalFormatting>
  <conditionalFormatting sqref="C8:C9">
    <cfRule type="cellIs" dxfId="190" priority="33" stopIfTrue="1" operator="lessThan">
      <formula>$B$2</formula>
    </cfRule>
  </conditionalFormatting>
  <conditionalFormatting sqref="B15 E15">
    <cfRule type="cellIs" dxfId="189" priority="20" stopIfTrue="1" operator="equal">
      <formula>"已过期"</formula>
    </cfRule>
  </conditionalFormatting>
  <conditionalFormatting sqref="F15">
    <cfRule type="cellIs" dxfId="188" priority="17" stopIfTrue="1" operator="lessThan">
      <formula>$B$2</formula>
    </cfRule>
  </conditionalFormatting>
  <conditionalFormatting sqref="C7">
    <cfRule type="expression" dxfId="187" priority="15">
      <formula>AND($C7-TODAY()&lt;30,TODAY()&lt;$C7)</formula>
    </cfRule>
  </conditionalFormatting>
  <conditionalFormatting sqref="C7">
    <cfRule type="cellIs" dxfId="186" priority="16" stopIfTrue="1" operator="lessThan">
      <formula>$B$2</formula>
    </cfRule>
  </conditionalFormatting>
  <conditionalFormatting sqref="C10:C11 C13:C23">
    <cfRule type="expression" dxfId="185" priority="13">
      <formula>AND($C10-TODAY()&lt;30,TODAY()&lt;$C10)</formula>
    </cfRule>
  </conditionalFormatting>
  <conditionalFormatting sqref="C10:C11 C13:C23">
    <cfRule type="cellIs" dxfId="184" priority="14" stopIfTrue="1" operator="lessThan">
      <formula>$B$2</formula>
    </cfRule>
  </conditionalFormatting>
  <conditionalFormatting sqref="F13">
    <cfRule type="cellIs" dxfId="183" priority="12" stopIfTrue="1" operator="lessThan">
      <formula>$B$2</formula>
    </cfRule>
  </conditionalFormatting>
  <conditionalFormatting sqref="F12">
    <cfRule type="cellIs" dxfId="182" priority="4" stopIfTrue="1" operator="lessThan">
      <formula>$B$2</formula>
    </cfRule>
  </conditionalFormatting>
  <conditionalFormatting sqref="B12 E12">
    <cfRule type="cellIs" dxfId="181" priority="3" stopIfTrue="1" operator="equal">
      <formula>"已过期"</formula>
    </cfRule>
  </conditionalFormatting>
  <conditionalFormatting sqref="C12">
    <cfRule type="expression" dxfId="180" priority="1">
      <formula>AND($C12-TODAY()&lt;30,TODAY()&lt;$C12)</formula>
    </cfRule>
  </conditionalFormatting>
  <conditionalFormatting sqref="C1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852</v>
      </c>
      <c r="B1" s="5" t="s">
        <v>131</v>
      </c>
      <c r="C1" s="1547"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5" t="s">
        <v>2545</v>
      </c>
      <c r="R1" s="2604" t="s">
        <v>2539</v>
      </c>
      <c r="S1" s="6" t="s">
        <v>145</v>
      </c>
      <c r="T1" s="7" t="s">
        <v>146</v>
      </c>
      <c r="U1" s="6" t="s">
        <v>147</v>
      </c>
      <c r="V1" s="6" t="s">
        <v>148</v>
      </c>
      <c r="W1" s="1003" t="s">
        <v>870</v>
      </c>
    </row>
    <row r="2" spans="1:23">
      <c r="A2" s="8" t="s">
        <v>73</v>
      </c>
      <c r="B2" s="8" t="s">
        <v>149</v>
      </c>
      <c r="C2" s="1548" t="s">
        <v>1706</v>
      </c>
      <c r="D2" s="9" t="s">
        <v>74</v>
      </c>
      <c r="E2" s="9" t="s">
        <v>126</v>
      </c>
      <c r="F2" s="9" t="s">
        <v>127</v>
      </c>
      <c r="G2" s="9">
        <v>40</v>
      </c>
      <c r="H2" s="9" t="s">
        <v>128</v>
      </c>
      <c r="I2" s="9" t="s">
        <v>129</v>
      </c>
      <c r="J2" s="9" t="s">
        <v>130</v>
      </c>
      <c r="K2" s="9" t="s">
        <v>75</v>
      </c>
      <c r="L2" s="9" t="s">
        <v>75</v>
      </c>
      <c r="M2" s="9" t="s">
        <v>75</v>
      </c>
      <c r="N2" s="9" t="s">
        <v>75</v>
      </c>
      <c r="O2" s="9" t="s">
        <v>75</v>
      </c>
      <c r="P2" s="1005" t="s">
        <v>876</v>
      </c>
      <c r="Q2" s="9" t="s">
        <v>75</v>
      </c>
      <c r="R2" s="1005" t="s">
        <v>2540</v>
      </c>
      <c r="S2" s="9" t="s">
        <v>75</v>
      </c>
      <c r="T2" s="9" t="s">
        <v>76</v>
      </c>
      <c r="U2" s="9" t="s">
        <v>75</v>
      </c>
      <c r="V2" s="9" t="s">
        <v>77</v>
      </c>
      <c r="W2" s="9" t="s">
        <v>871</v>
      </c>
    </row>
    <row r="3" spans="1:23">
      <c r="A3" s="8" t="s">
        <v>78</v>
      </c>
      <c r="B3" s="10" t="s">
        <v>150</v>
      </c>
      <c r="C3" s="1549"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2541</v>
      </c>
      <c r="S3" s="9" t="s">
        <v>84</v>
      </c>
      <c r="T3" s="9" t="s">
        <v>85</v>
      </c>
      <c r="U3" s="9" t="s">
        <v>84</v>
      </c>
      <c r="V3" s="9" t="s">
        <v>86</v>
      </c>
      <c r="W3" s="9" t="s">
        <v>872</v>
      </c>
    </row>
    <row r="4" spans="1:23">
      <c r="A4" s="8" t="s">
        <v>87</v>
      </c>
      <c r="B4" s="8" t="s">
        <v>151</v>
      </c>
      <c r="C4" s="1548"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2542</v>
      </c>
      <c r="S4" s="9" t="s">
        <v>92</v>
      </c>
      <c r="T4" s="9" t="s">
        <v>93</v>
      </c>
      <c r="U4" s="9" t="s">
        <v>92</v>
      </c>
      <c r="W4" s="9" t="s">
        <v>873</v>
      </c>
    </row>
    <row r="5" spans="1:23">
      <c r="A5" s="8" t="s">
        <v>94</v>
      </c>
      <c r="B5" s="8" t="s">
        <v>152</v>
      </c>
      <c r="C5" s="1548" t="s">
        <v>1709</v>
      </c>
      <c r="F5" s="9" t="s">
        <v>95</v>
      </c>
      <c r="H5" s="9" t="s">
        <v>70</v>
      </c>
      <c r="I5" s="9" t="s">
        <v>96</v>
      </c>
      <c r="K5" s="9" t="s">
        <v>97</v>
      </c>
      <c r="L5" s="9" t="s">
        <v>97</v>
      </c>
      <c r="M5" s="9" t="s">
        <v>97</v>
      </c>
      <c r="N5" s="9" t="s">
        <v>97</v>
      </c>
      <c r="O5" s="9" t="s">
        <v>97</v>
      </c>
      <c r="P5" s="1005" t="s">
        <v>542</v>
      </c>
      <c r="Q5" s="9" t="s">
        <v>97</v>
      </c>
      <c r="R5" s="1005" t="s">
        <v>2543</v>
      </c>
      <c r="S5" s="9" t="s">
        <v>97</v>
      </c>
      <c r="T5" s="9" t="s">
        <v>98</v>
      </c>
      <c r="U5" s="9" t="s">
        <v>97</v>
      </c>
      <c r="W5" s="9" t="s">
        <v>874</v>
      </c>
    </row>
    <row r="6" spans="1:23">
      <c r="A6" s="8" t="s">
        <v>99</v>
      </c>
      <c r="B6" s="1148" t="s">
        <v>1637</v>
      </c>
      <c r="C6" s="1550" t="s">
        <v>1710</v>
      </c>
      <c r="F6" s="9" t="s">
        <v>71</v>
      </c>
      <c r="H6" s="9" t="s">
        <v>72</v>
      </c>
      <c r="I6" s="9" t="s">
        <v>100</v>
      </c>
      <c r="K6" s="9" t="s">
        <v>101</v>
      </c>
      <c r="L6" s="9" t="s">
        <v>101</v>
      </c>
      <c r="M6" s="9" t="s">
        <v>101</v>
      </c>
      <c r="N6" s="9" t="s">
        <v>101</v>
      </c>
      <c r="O6" s="9" t="s">
        <v>101</v>
      </c>
      <c r="P6" s="1005" t="s">
        <v>877</v>
      </c>
      <c r="Q6" s="9" t="s">
        <v>101</v>
      </c>
      <c r="R6" s="1005" t="s">
        <v>2544</v>
      </c>
      <c r="S6" s="9" t="s">
        <v>101</v>
      </c>
      <c r="T6" s="9"/>
      <c r="U6" s="9" t="s">
        <v>101</v>
      </c>
      <c r="W6" s="9" t="s">
        <v>875</v>
      </c>
    </row>
    <row r="7" spans="1:23">
      <c r="A7" s="8" t="s">
        <v>102</v>
      </c>
      <c r="B7" s="8" t="s">
        <v>103</v>
      </c>
      <c r="C7" s="1548" t="s">
        <v>1711</v>
      </c>
      <c r="F7" s="9" t="s">
        <v>153</v>
      </c>
      <c r="H7" s="9" t="s">
        <v>104</v>
      </c>
      <c r="I7" s="9" t="s">
        <v>105</v>
      </c>
    </row>
    <row r="8" spans="1:23">
      <c r="A8" s="8" t="s">
        <v>106</v>
      </c>
      <c r="B8" s="1148" t="s">
        <v>3085</v>
      </c>
      <c r="C8" s="1548" t="s">
        <v>1712</v>
      </c>
      <c r="F8" s="9" t="s">
        <v>154</v>
      </c>
      <c r="H8" s="9"/>
      <c r="I8" s="9" t="s">
        <v>107</v>
      </c>
    </row>
    <row r="9" spans="1:23">
      <c r="A9" s="8" t="s">
        <v>108</v>
      </c>
      <c r="B9" s="1148" t="s">
        <v>3087</v>
      </c>
      <c r="C9" s="1548" t="s">
        <v>1713</v>
      </c>
      <c r="F9" s="9" t="s">
        <v>109</v>
      </c>
      <c r="H9" s="9"/>
    </row>
    <row r="10" spans="1:23">
      <c r="A10" s="8" t="s">
        <v>110</v>
      </c>
      <c r="B10" s="1148" t="s">
        <v>3089</v>
      </c>
      <c r="C10" s="1548" t="s">
        <v>1714</v>
      </c>
      <c r="F10" s="9" t="s">
        <v>6</v>
      </c>
    </row>
    <row r="11" spans="1:23">
      <c r="A11" s="8" t="s">
        <v>111</v>
      </c>
      <c r="B11" s="1148" t="s">
        <v>3091</v>
      </c>
      <c r="C11" s="1548" t="s">
        <v>1715</v>
      </c>
    </row>
    <row r="12" spans="1:23">
      <c r="A12" s="8" t="s">
        <v>112</v>
      </c>
      <c r="B12" s="8" t="s">
        <v>155</v>
      </c>
      <c r="C12" s="1548" t="s">
        <v>1716</v>
      </c>
    </row>
    <row r="13" spans="1:23">
      <c r="A13" s="8" t="s">
        <v>113</v>
      </c>
      <c r="B13" s="8" t="s">
        <v>156</v>
      </c>
      <c r="C13" s="1548" t="s">
        <v>1717</v>
      </c>
    </row>
    <row r="14" spans="1:23">
      <c r="A14" s="8" t="s">
        <v>114</v>
      </c>
      <c r="B14" s="8" t="s">
        <v>157</v>
      </c>
      <c r="C14" s="1551" t="s">
        <v>1893</v>
      </c>
    </row>
    <row r="15" spans="1:23">
      <c r="A15" s="8" t="s">
        <v>115</v>
      </c>
      <c r="B15" s="8" t="s">
        <v>1678</v>
      </c>
      <c r="C15" s="1551"/>
    </row>
    <row r="16" spans="1:23">
      <c r="A16" s="8" t="s">
        <v>116</v>
      </c>
      <c r="B16" s="8" t="s">
        <v>1679</v>
      </c>
      <c r="C16" s="1551"/>
    </row>
    <row r="17" spans="1:3">
      <c r="A17" s="8" t="s">
        <v>117</v>
      </c>
      <c r="B17" s="8" t="s">
        <v>1680</v>
      </c>
      <c r="C17" s="1551"/>
    </row>
    <row r="18" spans="1:3">
      <c r="A18" s="8" t="s">
        <v>118</v>
      </c>
      <c r="B18" s="3135" t="s">
        <v>2957</v>
      </c>
      <c r="C18" s="1551"/>
    </row>
    <row r="19" spans="1:3">
      <c r="A19" s="8" t="s">
        <v>119</v>
      </c>
      <c r="B19" s="3135" t="s">
        <v>2965</v>
      </c>
      <c r="C19" s="1551"/>
    </row>
    <row r="20" spans="1:3">
      <c r="A20" s="8" t="s">
        <v>120</v>
      </c>
      <c r="B20" s="8" t="s">
        <v>1638</v>
      </c>
      <c r="C20" s="1551"/>
    </row>
    <row r="21" spans="1:3">
      <c r="A21" s="8" t="s">
        <v>121</v>
      </c>
      <c r="B21" s="8" t="s">
        <v>1638</v>
      </c>
      <c r="C21" s="1551"/>
    </row>
    <row r="22" spans="1:3">
      <c r="A22" s="8" t="s">
        <v>122</v>
      </c>
      <c r="B22" s="8" t="s">
        <v>1638</v>
      </c>
      <c r="C22" s="1551"/>
    </row>
    <row r="23" spans="1:3">
      <c r="A23" s="8" t="s">
        <v>123</v>
      </c>
      <c r="B23" s="8" t="s">
        <v>1638</v>
      </c>
      <c r="C23" s="1551"/>
    </row>
    <row r="24" spans="1:3">
      <c r="A24" s="8" t="s">
        <v>12</v>
      </c>
      <c r="B24" s="8" t="s">
        <v>1638</v>
      </c>
      <c r="C24" s="1551"/>
    </row>
    <row r="25" spans="1:3">
      <c r="A25" s="8" t="s">
        <v>124</v>
      </c>
      <c r="B25" s="8" t="s">
        <v>1638</v>
      </c>
      <c r="C25" s="1551"/>
    </row>
    <row r="26" spans="1:3">
      <c r="A26" s="8" t="s">
        <v>125</v>
      </c>
      <c r="B26" s="8" t="s">
        <v>1638</v>
      </c>
      <c r="C26" s="1551"/>
    </row>
    <row r="27" spans="1:3">
      <c r="A27" s="8" t="s">
        <v>1638</v>
      </c>
      <c r="B27" s="8" t="s">
        <v>1638</v>
      </c>
      <c r="C27" s="1551"/>
    </row>
    <row r="28" spans="1:3">
      <c r="A28" s="8" t="s">
        <v>1638</v>
      </c>
      <c r="B28" s="8" t="s">
        <v>1638</v>
      </c>
      <c r="C28" s="1551"/>
    </row>
    <row r="29" spans="1:3">
      <c r="A29" s="8" t="s">
        <v>1638</v>
      </c>
      <c r="B29" s="8" t="s">
        <v>1638</v>
      </c>
      <c r="C29" s="1551"/>
    </row>
    <row r="30" spans="1:3">
      <c r="A30" s="8" t="s">
        <v>1638</v>
      </c>
      <c r="B30" s="8" t="s">
        <v>1638</v>
      </c>
      <c r="C30" s="1551"/>
    </row>
    <row r="31" spans="1:3">
      <c r="A31" s="8" t="s">
        <v>1638</v>
      </c>
      <c r="B31" s="8" t="s">
        <v>1638</v>
      </c>
      <c r="C31" s="1551"/>
    </row>
    <row r="32" spans="1:3">
      <c r="A32" s="8" t="s">
        <v>1638</v>
      </c>
      <c r="B32" s="8" t="s">
        <v>1638</v>
      </c>
      <c r="C32" s="1551"/>
    </row>
    <row r="33" spans="1:3">
      <c r="A33" s="8" t="s">
        <v>1638</v>
      </c>
      <c r="B33" s="8" t="s">
        <v>1638</v>
      </c>
      <c r="C33" s="1551"/>
    </row>
    <row r="34" spans="1:3">
      <c r="A34" s="8" t="s">
        <v>1638</v>
      </c>
      <c r="B34" s="8" t="s">
        <v>1638</v>
      </c>
      <c r="C34" s="1551"/>
    </row>
    <row r="35" spans="1:3">
      <c r="A35" s="8" t="s">
        <v>1638</v>
      </c>
      <c r="B35" s="8" t="s">
        <v>1638</v>
      </c>
      <c r="C35" s="1551"/>
    </row>
    <row r="36" spans="1:3">
      <c r="A36" s="8" t="s">
        <v>1638</v>
      </c>
      <c r="B36" s="8" t="s">
        <v>1638</v>
      </c>
      <c r="C36" s="1551"/>
    </row>
    <row r="37" spans="1:3">
      <c r="A37" s="8" t="s">
        <v>1638</v>
      </c>
      <c r="B37" s="8" t="s">
        <v>1638</v>
      </c>
      <c r="C37" s="1551"/>
    </row>
    <row r="38" spans="1:3">
      <c r="A38" s="8" t="s">
        <v>1638</v>
      </c>
      <c r="B38" s="8" t="s">
        <v>1638</v>
      </c>
      <c r="C38" s="1551"/>
    </row>
    <row r="39" spans="1:3">
      <c r="A39" s="8" t="s">
        <v>1638</v>
      </c>
      <c r="B39" s="8" t="s">
        <v>1638</v>
      </c>
      <c r="C39" s="1551"/>
    </row>
    <row r="40" spans="1:3">
      <c r="A40" s="8" t="s">
        <v>1638</v>
      </c>
      <c r="B40" s="8" t="s">
        <v>1638</v>
      </c>
      <c r="C40" s="1551"/>
    </row>
    <row r="41" spans="1:3">
      <c r="A41" s="8" t="s">
        <v>1638</v>
      </c>
      <c r="B41" s="8" t="s">
        <v>1638</v>
      </c>
      <c r="C41" s="1551"/>
    </row>
    <row r="42" spans="1:3">
      <c r="A42" s="8" t="s">
        <v>1638</v>
      </c>
      <c r="B42" s="8" t="s">
        <v>1638</v>
      </c>
      <c r="C42" s="1551"/>
    </row>
    <row r="43" spans="1:3">
      <c r="A43" s="8" t="s">
        <v>1638</v>
      </c>
      <c r="B43" s="8" t="s">
        <v>1638</v>
      </c>
      <c r="C43" s="1551"/>
    </row>
    <row r="44" spans="1:3">
      <c r="A44" s="8" t="s">
        <v>1638</v>
      </c>
      <c r="B44" s="8" t="s">
        <v>1638</v>
      </c>
      <c r="C44" s="1551"/>
    </row>
    <row r="45" spans="1:3">
      <c r="A45" s="8" t="s">
        <v>1638</v>
      </c>
      <c r="B45" s="8" t="s">
        <v>1638</v>
      </c>
      <c r="C45" s="1551"/>
    </row>
    <row r="46" spans="1:3">
      <c r="A46" s="8" t="s">
        <v>1638</v>
      </c>
      <c r="B46" s="8" t="s">
        <v>1638</v>
      </c>
      <c r="C46" s="1551"/>
    </row>
    <row r="47" spans="1:3">
      <c r="A47" s="8" t="s">
        <v>1638</v>
      </c>
      <c r="B47" s="8" t="s">
        <v>1638</v>
      </c>
      <c r="C47" s="1551"/>
    </row>
    <row r="48" spans="1:3">
      <c r="A48" s="8" t="s">
        <v>1638</v>
      </c>
      <c r="B48" s="8" t="s">
        <v>1638</v>
      </c>
      <c r="C48" s="1551"/>
    </row>
    <row r="49" spans="1:5">
      <c r="A49" s="8" t="s">
        <v>1638</v>
      </c>
      <c r="B49" s="8" t="s">
        <v>1638</v>
      </c>
      <c r="C49" s="1551"/>
    </row>
    <row r="50" spans="1:5">
      <c r="A50" s="8" t="s">
        <v>1638</v>
      </c>
      <c r="B50" s="8" t="s">
        <v>1638</v>
      </c>
      <c r="C50" s="1551"/>
    </row>
    <row r="51" spans="1:5">
      <c r="A51" s="1763" t="s">
        <v>1941</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工商银行商务区支行）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凯华房地产开发有限公司拟使用北京市房山区周口店镇02街区02-0001地块出让国有建设用地使用权作为抵押担保物，向工商银行商务区支行办理贷款手续。工商银行商务区支行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82"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14日，在规划利用条件下、设定土地开发程度为红线外“七通”、宗地内场地平整，设定用途为，剩余土地使用年限为的出让国有建设用地使用权价格。</v>
      </c>
      <c r="D53" s="1765"/>
      <c r="E53" s="1765"/>
    </row>
    <row r="54" spans="1:5">
      <c r="A54" s="3282"/>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82"/>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82"/>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82"/>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2048</v>
      </c>
      <c r="B58" s="1764"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131</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不动产收益法住</vt:lpstr>
      <vt:lpstr>不动产收益法商</vt:lpstr>
      <vt:lpstr>不动产收益法车</vt:lpstr>
      <vt:lpstr>不动产收益法仓</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2018-05-16T03:22:39Z</dcterms:modified>
</cp:coreProperties>
</file>