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0"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面积表" sheetId="74"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80" r:id="rId18"/>
    <sheet name="结果表" sheetId="9" r:id="rId19"/>
    <sheet name="成本法" sheetId="68" r:id="rId20"/>
    <sheet name="土地比较法-住宅、综合" sheetId="39" r:id="rId21"/>
    <sheet name="假设开发法" sheetId="12" r:id="rId22"/>
    <sheet name="收益法（商业）" sheetId="15" state="hidden" r:id="rId23"/>
    <sheet name="收益法（车位)" sheetId="82" state="hidden" r:id="rId24"/>
    <sheet name="收益法（底商)" sheetId="77" r:id="rId25"/>
    <sheet name="收益法（住宅车位)" sheetId="81" state="hidden" r:id="rId26"/>
    <sheet name="比较法-住宅" sheetId="21" r:id="rId27"/>
    <sheet name="比较法-公寓" sheetId="79" r:id="rId28"/>
    <sheet name="收益法 (车位)" sheetId="76" state="hidden" r:id="rId29"/>
    <sheet name="收益法 (办公)" sheetId="75" state="hidden" r:id="rId30"/>
    <sheet name="收益法（汇总）" sheetId="70" state="hidden" r:id="rId31"/>
    <sheet name="成本法 (元)" sheetId="69"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s>
  <externalReferences>
    <externalReference r:id="rId50"/>
    <externalReference r:id="rId51"/>
    <externalReference r:id="rId52"/>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7" hidden="1">'比较法-公寓'!$A$1:$L$49</definedName>
    <definedName name="_xlnm._FilterDatabase" localSheetId="34" hidden="1">'比较法-商业'!$A$1:$L$49</definedName>
    <definedName name="_xlnm._FilterDatabase" localSheetId="26"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8">估价师及机构信息!$A$1:$F$24</definedName>
    <definedName name="_xlnm.Print_Area" localSheetId="29">'收益法 (办公)'!$A$1:$AK$69</definedName>
    <definedName name="_xlnm.Print_Area" localSheetId="28">'收益法 (车位)'!$A$1:$AK$69</definedName>
    <definedName name="_xlnm.Print_Area" localSheetId="32">'收益法 (元)'!$A$1:$AK$69</definedName>
    <definedName name="_xlnm.Print_Area" localSheetId="23">'收益法（车位)'!$A$1:$AK$69</definedName>
    <definedName name="_xlnm.Print_Area" localSheetId="24">'收益法（底商)'!$A$1:$AK$69</definedName>
    <definedName name="_xlnm.Print_Area" localSheetId="22">'收益法（商业）'!$A$1:$AK$69</definedName>
    <definedName name="_xlnm.Print_Area" localSheetId="25">'收益法（住宅车位)'!$A$1:$AK$69</definedName>
    <definedName name="_xlnm.Print_Area" localSheetId="14">'数据-汇总表'!$A$1:$P$32</definedName>
    <definedName name="_xlnm.Print_Area" localSheetId="5">'预评函-4'!$A$1:$D$31</definedName>
    <definedName name="八级">区片价!$O$1:$O$40</definedName>
    <definedName name="办公层高" localSheetId="17">'[1]比较法-办公'!$B$119:$M$119</definedName>
    <definedName name="办公层高" localSheetId="5">'[2]比较法-办公'!$B$115:$M$115</definedName>
    <definedName name="办公层高">'比较法-办公'!$B$119:$M$119</definedName>
    <definedName name="办公朝向" localSheetId="17">'[1]比较法-办公'!$B$91:$M$91</definedName>
    <definedName name="办公朝向" localSheetId="5">'[2]比较法-办公'!$B$87:$M$87</definedName>
    <definedName name="办公朝向">'比较法-办公'!$B$91:$M$91</definedName>
    <definedName name="办公道路级别" localSheetId="17">'[1]比较法-办公'!$B$87:$M$87</definedName>
    <definedName name="办公道路级别" localSheetId="5">'[2]比较法-办公'!$B$83:$M$83</definedName>
    <definedName name="办公道路级别">'比较法-办公'!$B$87:$M$87</definedName>
    <definedName name="办公公共部分装修" localSheetId="17">'[1]比较法-办公'!$B$108:$M$108</definedName>
    <definedName name="办公公共部分装修" localSheetId="5">'[2]比较法-办公'!$B$104:$M$104</definedName>
    <definedName name="办公公共部分装修">'比较法-办公'!$B$108:$M$108</definedName>
    <definedName name="办公基础设施水平" localSheetId="17">'[1]比较法-办公'!$B$117:$M$117</definedName>
    <definedName name="办公基础设施水平" localSheetId="5">'[2]比较法-办公'!$B$113:$M$113</definedName>
    <definedName name="办公基础设施水平">'比较法-办公'!$B$117:$M$117</definedName>
    <definedName name="办公集聚程度" localSheetId="17">[1]定义!$M$1:$M$6</definedName>
    <definedName name="办公集聚程度" localSheetId="5">[2]定义!$M$1:$M$6</definedName>
    <definedName name="办公集聚程度">定义!$M$1:$M$6</definedName>
    <definedName name="办公建筑结构" localSheetId="17">'[1]比较法-办公'!$B$106:$M$106</definedName>
    <definedName name="办公建筑结构" localSheetId="5">'[2]比较法-办公'!$B$102:$M$102</definedName>
    <definedName name="办公建筑结构">'比较法-办公'!$B$106:$M$106</definedName>
    <definedName name="办公建筑类型" localSheetId="17">'[1]比较法-办公'!$B$101:$M$101</definedName>
    <definedName name="办公建筑类型" localSheetId="5">'[2]比较法-办公'!$B$97:$M$97</definedName>
    <definedName name="办公建筑类型">'比较法-办公'!$B$101:$M$101</definedName>
    <definedName name="办公交易情况" localSheetId="17">'[1]比较法-办公'!$A$62:$M$62</definedName>
    <definedName name="办公交易情况" localSheetId="5">'[2]比较法-办公'!$A$60:$M$60</definedName>
    <definedName name="办公交易情况">'比较法-办公'!$A$62:$M$62</definedName>
    <definedName name="办公楼层" localSheetId="17">'[1]比较法-办公'!$B$89:$M$89</definedName>
    <definedName name="办公楼层" localSheetId="5">'[2]比较法-办公'!$B$85:$M$85</definedName>
    <definedName name="办公楼层">'比较法-办公'!$B$89:$M$89</definedName>
    <definedName name="办公内部装修" localSheetId="17">'[1]比较法-办公'!$B$123:$M$123</definedName>
    <definedName name="办公内部装修" localSheetId="5">'[2]比较法-办公'!$B$119:$M$119</definedName>
    <definedName name="办公内部装修">'比较法-办公'!$B$123:$M$123</definedName>
    <definedName name="办公物业管理" localSheetId="17">'[1]比较法-办公'!$B$115:$M$115</definedName>
    <definedName name="办公物业管理" localSheetId="5">'[2]比较法-办公'!$B$111:$M$111</definedName>
    <definedName name="办公物业管理">'比较法-办公'!$B$115:$M$115</definedName>
    <definedName name="办公用途" localSheetId="17">'[1]比较法-办公'!$B$64:$M$64</definedName>
    <definedName name="办公用途" localSheetId="5">'[2]比较法-办公'!$B$62:$M$62</definedName>
    <definedName name="办公用途">'比较法-办公'!$B$64:$M$64</definedName>
    <definedName name="仓储公共部分装修" localSheetId="17">'[1]比较法-仓储'!$B$77:$M$77</definedName>
    <definedName name="仓储公共部分装修" localSheetId="5">'[2]比较法-仓储'!$B$73:$M$73</definedName>
    <definedName name="仓储公共部分装修">'比较法-仓储'!$B$77:$M$77</definedName>
    <definedName name="仓储交易情况" localSheetId="17">'[1]比较法-仓储'!$A$49:$M$49</definedName>
    <definedName name="仓储交易情况" localSheetId="5">'[2]比较法-仓储'!$A$47:$M$47</definedName>
    <definedName name="仓储交易情况">'比较法-仓储'!$A$49:$M$49</definedName>
    <definedName name="仓储楼层" localSheetId="17">'[1]比较法-仓储'!$B$69:$M$69</definedName>
    <definedName name="仓储楼层" localSheetId="5">'[2]比较法-仓储'!$B$65:$M$65</definedName>
    <definedName name="仓储楼层">'比较法-仓储'!$B$69:$M$69</definedName>
    <definedName name="仓储物业等级" localSheetId="17">'[1]比较法-仓储'!$B$82:$M$82</definedName>
    <definedName name="仓储物业等级" localSheetId="5">'[2]比较法-仓储'!$B$78:$M$78</definedName>
    <definedName name="仓储物业等级">'比较法-仓储'!$B$82:$M$82</definedName>
    <definedName name="仓储用途" localSheetId="17">'[1]比较法-仓储'!$B$51:$M$51</definedName>
    <definedName name="仓储用途" localSheetId="5">'[2]比较法-仓储'!$B$49:$M$49</definedName>
    <definedName name="仓储用途">'比较法-仓储'!$B$51:$M$51</definedName>
    <definedName name="产业集聚程度" localSheetId="17">[1]定义!$N$1:$N$6</definedName>
    <definedName name="产业集聚程度" localSheetId="5">[2]定义!$N$1:$N$6</definedName>
    <definedName name="产业集聚程度">定义!$N$1:$N$6</definedName>
    <definedName name="车位公共部分装修" localSheetId="17">'[1]比较法-车位'!$B$83:$M$83</definedName>
    <definedName name="车位公共部分装修" localSheetId="5">'[2]比较法-车位'!$B$79:$M$79</definedName>
    <definedName name="车位公共部分装修">'比较法-车位'!$B$83:$M$83</definedName>
    <definedName name="车位交易情况" localSheetId="17">'[1]比较法-车位'!$A$51:$M$51</definedName>
    <definedName name="车位交易情况" localSheetId="5">'[2]比较法-车位'!$A$49:$M$49</definedName>
    <definedName name="车位交易情况">'比较法-车位'!$A$51:$M$51</definedName>
    <definedName name="车位类型" localSheetId="17">'[1]比较法-车位'!$B$93:$M$93</definedName>
    <definedName name="车位类型" localSheetId="5">'[2]比较法-车位'!$B$89:$M$89</definedName>
    <definedName name="车位类型">'比较法-车位'!$B$93:$M$93</definedName>
    <definedName name="车位楼层" localSheetId="17">'[1]比较法-车位'!$B$71:$M$71</definedName>
    <definedName name="车位楼层" localSheetId="5">'[2]比较法-车位'!$B$67:$M$67</definedName>
    <definedName name="车位楼层">'比较法-车位'!$B$71:$M$71</definedName>
    <definedName name="车位配套类型" localSheetId="17">'[1]比较法-车位'!$B$79:$M$79</definedName>
    <definedName name="车位配套类型" localSheetId="5">'[2]比较法-车位'!$B$75:$M$75</definedName>
    <definedName name="车位配套类型">'比较法-车位'!$B$79:$M$79</definedName>
    <definedName name="车位物业等级" localSheetId="17">'[1]比较法-车位'!$B$88:$M$88</definedName>
    <definedName name="车位物业等级" localSheetId="5">'[2]比较法-车位'!$B$84:$M$84</definedName>
    <definedName name="车位物业等级">'比较法-车位'!$B$88:$M$88</definedName>
    <definedName name="车位用途" localSheetId="17">'[1]比较法-车位'!$B$53:$M$53</definedName>
    <definedName name="车位用途" localSheetId="5">'[2]比较法-车位'!$B$51:$M$51</definedName>
    <definedName name="车位用途">'比较法-车位'!$B$53:$M$53</definedName>
    <definedName name="城镇土地纳税等级分级范围" localSheetId="17">'[1]数据-取费表'!$A$53:$A$63</definedName>
    <definedName name="城镇土地纳税等级分级范围" localSheetId="5">'[2]数据-取费表'!$D$36:$D$46</definedName>
    <definedName name="城镇土地纳税等级分级范围">'数据-取费表'!$A$53:$A$63</definedName>
    <definedName name="单价内涵" localSheetId="17">[1]定义!$V$1:$V$3</definedName>
    <definedName name="单价内涵" localSheetId="5">[2]定义!$U$1:$U$3</definedName>
    <definedName name="单价内涵">定义!$V$1:$V$3</definedName>
    <definedName name="地类判定" localSheetId="17">[1]定义!$H$1:$H$9</definedName>
    <definedName name="地类判定" localSheetId="5">[2]定义!$H$1:$H$9</definedName>
    <definedName name="地类判定">定义!$H$1:$H$9</definedName>
    <definedName name="二级">区片价!$I$1:$I$20</definedName>
    <definedName name="二级分类" localSheetId="17">[1]修正!$C$17:$C$39</definedName>
    <definedName name="二级分类" localSheetId="5">[2]修正!$C$17:$C$39</definedName>
    <definedName name="二级分类">修正!$C$17:$C$39</definedName>
    <definedName name="法定最高年限" localSheetId="17">[1]定义!$G$1:$G$4</definedName>
    <definedName name="法定最高年限" localSheetId="5">[2]定义!$G$1:$G$4</definedName>
    <definedName name="法定最高年限">定义!$G$1:$G$4</definedName>
    <definedName name="工业公共部分装修" localSheetId="17">'[1]比较法-工业'!$B$95:$M$95</definedName>
    <definedName name="工业公共部分装修" localSheetId="5">'[2]比较法-工业'!$B$91:$M$91</definedName>
    <definedName name="工业公共部分装修">'比较法-工业'!$B$95:$M$95</definedName>
    <definedName name="工业基础设施水平" localSheetId="17">'[1]比较法-工业'!$B$102:$M$102</definedName>
    <definedName name="工业基础设施水平" localSheetId="5">'[2]比较法-工业'!$B$98:$M$98</definedName>
    <definedName name="工业基础设施水平">'比较法-工业'!$B$102:$M$102</definedName>
    <definedName name="工业建筑结构" localSheetId="17">'[1]比较法-工业'!$B$93:$M$93</definedName>
    <definedName name="工业建筑结构" localSheetId="5">'[2]比较法-工业'!$B$89:$M$89</definedName>
    <definedName name="工业建筑结构">'比较法-工业'!$B$93:$M$93</definedName>
    <definedName name="工业建筑类型" localSheetId="17">'[1]比较法-工业'!$B$88:$M$88</definedName>
    <definedName name="工业建筑类型" localSheetId="5">'[2]比较法-工业'!$B$84:$M$84</definedName>
    <definedName name="工业建筑类型">'比较法-工业'!$B$88:$M$88</definedName>
    <definedName name="工业交易情况" localSheetId="17">'[1]比较法-工业'!$A$55:$M$55</definedName>
    <definedName name="工业交易情况" localSheetId="5">'[2]比较法-工业'!$A$53:$M$53</definedName>
    <definedName name="工业交易情况">'比较法-工业'!$A$55:$M$55</definedName>
    <definedName name="工业内部装修" localSheetId="17">'[1]比较法-工业'!$B$104:$M$104</definedName>
    <definedName name="工业内部装修" localSheetId="5">'[2]比较法-工业'!$B$100:$M$100</definedName>
    <definedName name="工业内部装修">'比较法-工业'!$B$104:$M$104</definedName>
    <definedName name="工业物业管理" localSheetId="17">'[1]比较法-工业'!$B$100:$M$100</definedName>
    <definedName name="工业物业管理" localSheetId="5">'[2]比较法-工业'!$B$96:$M$96</definedName>
    <definedName name="工业物业管理">'比较法-工业'!$B$100:$M$100</definedName>
    <definedName name="工业用途" localSheetId="17">'[1]比较法-工业'!$B$57:$M$57</definedName>
    <definedName name="工业用途" localSheetId="5">'[2]比较法-工业'!$B$55:$M$55</definedName>
    <definedName name="工业用途">'比较法-工业'!$B$57:$M$57</definedName>
    <definedName name="公共配套设施" localSheetId="17">[1]定义!$Q$1:$Q$6</definedName>
    <definedName name="公共配套设施">定义!$Q$1:$Q$6</definedName>
    <definedName name="公用设施及基础设施水平" localSheetId="5">[2]定义!$Q$1:$Q$6</definedName>
    <definedName name="估价方法" localSheetId="17">[1]定义!$B$1:$B$50</definedName>
    <definedName name="估价方法" localSheetId="5">[2]定义!$B$1:$B$50</definedName>
    <definedName name="估价方法">定义!$B$1:$B$50</definedName>
    <definedName name="环境" localSheetId="17">[1]定义!$S$1:$S$6</definedName>
    <definedName name="环境" localSheetId="5">[2]定义!$R$1:$R$6</definedName>
    <definedName name="环境">定义!$S$1:$S$6</definedName>
    <definedName name="基础设施水平" localSheetId="17">[1]定义!$R$1:$R$6</definedName>
    <definedName name="基础设施水平">定义!$R$1:$R$6</definedName>
    <definedName name="季度" localSheetId="5">[2]基准地价修正!$O$19:$Z$19</definedName>
    <definedName name="季度">基准地价修正!$Q$19:$AD$19</definedName>
    <definedName name="价值类型2" localSheetId="17">[1]定义!$B$54:$B$56</definedName>
    <definedName name="价值类型2" localSheetId="5">[2]定义!$B$54:$B$56</definedName>
    <definedName name="价值类型2">定义!$B$54:$B$56</definedName>
    <definedName name="交通便捷度" localSheetId="17">[1]定义!$O$1:$O$6</definedName>
    <definedName name="交通便捷度" localSheetId="5">[2]定义!$O$1:$O$6</definedName>
    <definedName name="交通便捷度">定义!$O$1:$O$6</definedName>
    <definedName name="九级">区片价!$P$1:$P$46</definedName>
    <definedName name="居住社区成熟度" localSheetId="17">[1]定义!$K$1:$K$6</definedName>
    <definedName name="居住社区成熟度" localSheetId="5">[2]定义!$K$1:$K$6</definedName>
    <definedName name="居住社区成熟度">定义!$K$1:$K$6</definedName>
    <definedName name="类别" localSheetId="17">[1]定义!$J$1:$J$3</definedName>
    <definedName name="类别">定义!$J$1:$J$3</definedName>
    <definedName name="临街状况" localSheetId="17">[1]定义!$T$1:$T$5</definedName>
    <definedName name="临街状况" localSheetId="5">[2]定义!$S$1:$S$5</definedName>
    <definedName name="临街状况">定义!$T$1:$T$5</definedName>
    <definedName name="六级">区片价!$M$1:$M$49</definedName>
    <definedName name="内部装修维护情况" localSheetId="17">[1]定义!$U$1:$U$6</definedName>
    <definedName name="内部装修维护情况" localSheetId="5">[2]定义!$T$1:$T$6</definedName>
    <definedName name="内部装修维护情况">定义!$U$1:$U$6</definedName>
    <definedName name="判定" localSheetId="17">[1]定义!$D$1:$D$4</definedName>
    <definedName name="判定" localSheetId="5">[2]定义!$D$1:$D$4</definedName>
    <definedName name="判定">定义!$D$1:$D$4</definedName>
    <definedName name="七级">区片价!$N$1:$N$49</definedName>
    <definedName name="七通一平" localSheetId="17">[1]修正!$A$6:$A$14</definedName>
    <definedName name="七通一平" localSheetId="5">[2]修正!$A$6:$A$14</definedName>
    <definedName name="七通一平">修正!$A$6:$A$14</definedName>
    <definedName name="区域土地利用方向" localSheetId="17">[1]定义!$P$1:$P$6</definedName>
    <definedName name="区域土地利用方向" localSheetId="5">[2]定义!$P$1:$P$6</definedName>
    <definedName name="区域土地利用方向">定义!$P$1:$P$6</definedName>
    <definedName name="三级">区片价!$J$1:$J$21</definedName>
    <definedName name="商业层高" localSheetId="17">'[1]比较法-商业'!$B$116:$M$116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7">[1]定义!$L$1:$L$6</definedName>
    <definedName name="商业繁华度" localSheetId="5">[2]定义!$L$1:$L$6</definedName>
    <definedName name="商业繁华度">定义!$L$1:$L$6</definedName>
    <definedName name="商业公共部分装修" localSheetId="17">'[1]比较法-商业'!$B$107:$M$107</definedName>
    <definedName name="商业公共部分装修" localSheetId="5">'[2]比较法-商业'!$B$103:$M$103</definedName>
    <definedName name="商业公共部分装修">'比较法-商业'!$B$107:$M$107</definedName>
    <definedName name="商业基础设施水平" localSheetId="17">'[1]比较法-商业'!$B$112:$M$112</definedName>
    <definedName name="商业基础设施水平" localSheetId="5">'[2]比较法-商业'!$B$108:$M$108</definedName>
    <definedName name="商业基础设施水平">'比较法-商业'!$B$112:$M$112</definedName>
    <definedName name="商业建筑结构" localSheetId="17">'[1]比较法-商业'!$B$105:$M$105</definedName>
    <definedName name="商业建筑结构" localSheetId="5">'[2]比较法-商业'!$B$101:$M$101</definedName>
    <definedName name="商业建筑结构">'比较法-商业'!$B$105:$M$105</definedName>
    <definedName name="商业交易情况" localSheetId="17">'[1]比较法-商业'!$A$61:$M$61</definedName>
    <definedName name="商业交易情况" localSheetId="5">'[2]比较法-商业'!$A$59:$M$59</definedName>
    <definedName name="商业交易情况">'比较法-商业'!$A$61:$M$61</definedName>
    <definedName name="商业街名称" localSheetId="17">[1]修正!$C$59:$C$119</definedName>
    <definedName name="商业街名称" localSheetId="5">[2]修正!$C$59:$C$119</definedName>
    <definedName name="商业街名称">修正!$C$59:$C$119</definedName>
    <definedName name="商业进深比" localSheetId="17">'[1]比较法-商业'!$B$120:$M$120</definedName>
    <definedName name="商业进深比" localSheetId="5">'[2]比较法-商业'!$B$116:$M$116</definedName>
    <definedName name="商业进深比">'比较法-商业'!$B$120:$M$120</definedName>
    <definedName name="商业类型" localSheetId="17">'[1]比较法-商业'!$B$100:$M$100</definedName>
    <definedName name="商业类型" localSheetId="5">'[2]比较法-商业'!$B$96:$M$96</definedName>
    <definedName name="商业类型">'比较法-商业'!$B$100:$M$100</definedName>
    <definedName name="商业临街状况" localSheetId="17">'[1]比较法-商业'!$B$86:$M$86</definedName>
    <definedName name="商业临街状况" localSheetId="5">'[2]比较法-商业'!$B$82:$M$82</definedName>
    <definedName name="商业临街状况">'比较法-商业'!$B$86:$M$86</definedName>
    <definedName name="商业楼层" localSheetId="17">'[1]比较法-商业'!$B$92:$M$92</definedName>
    <definedName name="商业楼层" localSheetId="5">'[2]比较法-商业'!$B$88:$M$88</definedName>
    <definedName name="商业楼层">'比较法-商业'!$B$92:$M$92</definedName>
    <definedName name="商业内部装修" localSheetId="17">'[1]比较法-商业'!$B$122:$M$122</definedName>
    <definedName name="商业内部装修" localSheetId="5">'[2]比较法-商业'!$B$118:$M$118</definedName>
    <definedName name="商业内部装修">'比较法-商业'!$B$122:$M$122</definedName>
    <definedName name="商业人流量" localSheetId="17">'[1]比较法-商业'!$B$90:$M$90</definedName>
    <definedName name="商业人流量" localSheetId="5">'[2]比较法-商业'!$B$86:$M$86</definedName>
    <definedName name="商业人流量">'比较法-商业'!$B$90:$M$90</definedName>
    <definedName name="商业业态" localSheetId="17">'[1]比较法-商业'!$B$114:$M$114</definedName>
    <definedName name="商业业态" localSheetId="5">'[2]比较法-商业'!$B$110:$M$110</definedName>
    <definedName name="商业业态">'比较法-商业'!$B$114:$M$114</definedName>
    <definedName name="商业用途" localSheetId="17">'[1]比较法-商业'!$B$63:$M$63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 localSheetId="5">'[2]比较法-仓储'!$B$85:$M$85</definedName>
    <definedName name="是否封闭">'比较法-仓储'!$B$89:$M$89</definedName>
    <definedName name="是否直接入户" localSheetId="17">'[1]比较法-车位'!$B$95:$M$95</definedName>
    <definedName name="是否直接入户" localSheetId="5">'[2]比较法-车位'!$B$91:$M$91</definedName>
    <definedName name="是否直接入户">'比较法-车位'!$B$95:$M$95</definedName>
    <definedName name="四级">区片价!$K$1:$K$28</definedName>
    <definedName name="套工道路等级" localSheetId="17">'[1]土地比较法-工业'!$B$97:$M$97</definedName>
    <definedName name="套工道路等级" localSheetId="5">'[2]土地比较法-工业'!$B$93:$M$93</definedName>
    <definedName name="套工道路等级">'土地比较法-工业'!$B$97:$M$97</definedName>
    <definedName name="套工地质条件" localSheetId="17">'[1]土地比较法-工业'!$B$114:$M$114</definedName>
    <definedName name="套工地质条件" localSheetId="5">'[2]土地比较法-工业'!$B$110:$M$110</definedName>
    <definedName name="套工地质条件">'土地比较法-工业'!$B$114:$M$114</definedName>
    <definedName name="套工交易情况" localSheetId="17">'[1]土地比较法-住宅、综合'!$A$73:$M$73</definedName>
    <definedName name="套工交易情况" localSheetId="5">'[2]土地比较法-住宅、综合'!$A$71:$M$71</definedName>
    <definedName name="套工交易情况">'土地比较法-住宅、综合'!$A$73:$M$73</definedName>
    <definedName name="套工土地级别" localSheetId="17">'[1]土地比较法-工业'!$B$99:$M$99</definedName>
    <definedName name="套工土地级别" localSheetId="5">'[2]土地比较法-工业'!$B$95:$M$95</definedName>
    <definedName name="套工土地级别">'土地比较法-工业'!$B$99:$M$99</definedName>
    <definedName name="套工用途" localSheetId="17">'[1]土地比较法-工业'!$B$70:$M$70</definedName>
    <definedName name="套工用途" localSheetId="5">'[2]土地比较法-工业'!$B$68:$M$68</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 localSheetId="5">'[2]土地比较法-工业'!$B$106:$M$106</definedName>
    <definedName name="套工宗地形状">'土地比较法-工业'!$B$110:$M$110</definedName>
    <definedName name="套综道路等级" localSheetId="17">'[1]土地比较法-住宅、综合'!$B$106:$M$106</definedName>
    <definedName name="套综道路等级" localSheetId="5">'[2]土地比较法-住宅、综合'!$B$102:$M$102</definedName>
    <definedName name="套综道路等级">'土地比较法-住宅、综合'!$B$106:$M$106</definedName>
    <definedName name="套综工程地质条件" localSheetId="17">'[1]土地比较法-住宅、综合'!$B$125:$M$125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7">'[1]土地比较法-住宅、综合'!$A$73:$M$73</definedName>
    <definedName name="套综交易情况" localSheetId="5">'[2]土地比较法-住宅、综合'!$A$71:$M$71</definedName>
    <definedName name="套综交易情况">'土地比较法-住宅、综合'!$A$73:$M$73</definedName>
    <definedName name="套综临街宽度及深度" localSheetId="17">'[1]土地比较法-住宅、综合'!$B$121:$M$121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7">'[1]土地比较法-住宅、综合'!$B$108:$M$108</definedName>
    <definedName name="套综土地级别" localSheetId="5">'[2]土地比较法-住宅、综合'!$B$104:$M$104</definedName>
    <definedName name="套综土地级别">'土地比较法-住宅、综合'!$B$108:$M$108</definedName>
    <definedName name="套综用途" localSheetId="17">'[1]土地比较法-住宅、综合'!$B$75:$M$75</definedName>
    <definedName name="套综用途" localSheetId="5">'[2]土地比较法-住宅、综合'!$B$73:$M$73</definedName>
    <definedName name="套综用途">'土地比较法-住宅、综合'!$B$75:$M$75</definedName>
    <definedName name="套综宗地内开发程度" localSheetId="17">'[1]土地比较法-住宅、综合'!$B$123:$M$123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7">'[1]土地比较法-住宅、综合'!$B$119:$M$119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7">[1]定义!$C$1:$C$14</definedName>
    <definedName name="土地级别" localSheetId="5">[2]定义!$C$1:$C$13</definedName>
    <definedName name="土地级别">定义!$C$1:$C$14</definedName>
    <definedName name="土地利用方向">定义!$P$1:$P$6</definedName>
    <definedName name="土地年限区间" localSheetId="17">[1]定义!$I$1:$I$8</definedName>
    <definedName name="土地年限区间" localSheetId="5">[2]定义!$I$1:$I$8</definedName>
    <definedName name="土地年限区间">定义!$I$1:$I$8</definedName>
    <definedName name="位置" localSheetId="17">[1]定义!$E$2:$E$4</definedName>
    <definedName name="位置">定义!$E$2:$E$4</definedName>
    <definedName name="五等判定" localSheetId="17">[1]定义!$W$1:$W$6</definedName>
    <definedName name="五等判定" localSheetId="5">[2]定义!$V$1:$V$6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 localSheetId="5">'[2]比较法-办公'!$B$109:$M$109</definedName>
    <definedName name="写字楼等级">'比较法-办公'!$B$113:$M$113</definedName>
    <definedName name="一级">区片价!$H$1:$H$6</definedName>
    <definedName name="一修多修正项2" localSheetId="17">[1]典型户型修正!$5:$5</definedName>
    <definedName name="一修多修正项2" localSheetId="5">[2]典型户型修正!$A$5:$IV$5</definedName>
    <definedName name="一修多修正项2">典型户型修正!$5:$5</definedName>
    <definedName name="一修多修正项3" localSheetId="17">[1]典型户型修正!$7:$7</definedName>
    <definedName name="一修多修正项3" localSheetId="5">[2]典型户型修正!$A$7:$IV$7</definedName>
    <definedName name="一修多修正项3">典型户型修正!$7:$7</definedName>
    <definedName name="一修多修正项4" localSheetId="17">[1]典型户型修正!$9:$9</definedName>
    <definedName name="一修多修正项4" localSheetId="5">[2]典型户型修正!$A$9:$IV$9</definedName>
    <definedName name="一修多修正项4">典型户型修正!$9:$9</definedName>
    <definedName name="一修多修正项5" localSheetId="17">[1]典型户型修正!$11:$11</definedName>
    <definedName name="一修多修正项5" localSheetId="5">[2]典型户型修正!$A$11:$IV$11</definedName>
    <definedName name="一修多修正项5">典型户型修正!$11:$11</definedName>
    <definedName name="一修多修正项6" localSheetId="17">[1]典型户型修正!$13:$13</definedName>
    <definedName name="一修多修正项6" localSheetId="5">[2]典型户型修正!$A$13:$IV$13</definedName>
    <definedName name="一修多修正项6">典型户型修正!$13:$13</definedName>
    <definedName name="一修多修正项7" localSheetId="17">[1]典型户型修正!$15:$15</definedName>
    <definedName name="一修多修正项7" localSheetId="5">[2]典型户型修正!$A$15:$IV$15</definedName>
    <definedName name="一修多修正项7">典型户型修正!$15:$15</definedName>
    <definedName name="一修多修正项8" localSheetId="17">[1]典型户型修正!$17:$17</definedName>
    <definedName name="一修多修正项8" localSheetId="5">[2]典型户型修正!$A$17:$IV$17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 localSheetId="5">'[2]比较法-仓储'!$B$80:$M$80</definedName>
    <definedName name="有无电梯">'比较法-仓储'!$B$84:$M$84</definedName>
    <definedName name="主用途" localSheetId="17">[1]定义!$F$1:$F$10</definedName>
    <definedName name="主用途">定义!$F$1:$F$10</definedName>
    <definedName name="住宅朝向" localSheetId="27">'比较法-公寓'!$B$88:$M$88</definedName>
    <definedName name="住宅朝向" localSheetId="17">'[1]比较法-住宅'!$B$88:$M$88</definedName>
    <definedName name="住宅朝向" localSheetId="5">'[2]比较法-住宅'!$B$84:$M$84</definedName>
    <definedName name="住宅朝向">'比较法-住宅'!$B$88:$M$88</definedName>
    <definedName name="住宅房型" localSheetId="27">'比较法-公寓'!$B$118:$M$118</definedName>
    <definedName name="住宅房型" localSheetId="17">'[1]比较法-住宅'!$B$118:$M$118</definedName>
    <definedName name="住宅房型" localSheetId="5">'[2]比较法-住宅'!$B$114:$M$114</definedName>
    <definedName name="住宅房型">'比较法-住宅'!$B$118:$M$118</definedName>
    <definedName name="住宅公共部分装修" localSheetId="27">'比较法-公寓'!$B$109:$M$109</definedName>
    <definedName name="住宅公共部分装修" localSheetId="17">'[1]比较法-住宅'!$B$109:$M$109</definedName>
    <definedName name="住宅公共部分装修" localSheetId="5">'[2]比较法-住宅'!$B$105:$M$105</definedName>
    <definedName name="住宅公共部分装修">'比较法-住宅'!$B$109:$M$109</definedName>
    <definedName name="住宅基础设施水平" localSheetId="27">'比较法-公寓'!$B$116:$M$116</definedName>
    <definedName name="住宅基础设施水平" localSheetId="17">'[1]比较法-住宅'!$B$116:$M$116</definedName>
    <definedName name="住宅基础设施水平" localSheetId="5">'[2]比较法-住宅'!$B$112:$M$112</definedName>
    <definedName name="住宅基础设施水平">'比较法-住宅'!$B$116:$M$116</definedName>
    <definedName name="住宅建筑结构" localSheetId="27">'比较法-公寓'!$B$105:$M$105</definedName>
    <definedName name="住宅建筑结构" localSheetId="17">'[1]比较法-住宅'!$B$105:$M$105</definedName>
    <definedName name="住宅建筑结构" localSheetId="5">'[2]比较法-住宅'!$B$101:$M$101</definedName>
    <definedName name="住宅建筑结构">'比较法-住宅'!$B$105:$M$105</definedName>
    <definedName name="住宅建筑类型" localSheetId="27">'比较法-公寓'!$B$100:$M$100</definedName>
    <definedName name="住宅建筑类型" localSheetId="17">'[1]比较法-住宅'!$B$100:$M$100</definedName>
    <definedName name="住宅建筑类型" localSheetId="5">'[2]比较法-住宅'!$B$96:$M$96</definedName>
    <definedName name="住宅建筑类型">'比较法-住宅'!$B$100:$M$100</definedName>
    <definedName name="住宅建筑品质" localSheetId="27">'比较法-公寓'!$B$107:$M$107</definedName>
    <definedName name="住宅建筑品质" localSheetId="17">'[1]比较法-住宅'!$B$107:$M$107</definedName>
    <definedName name="住宅建筑品质" localSheetId="5">'[2]比较法-住宅'!$B$103:$M$103</definedName>
    <definedName name="住宅建筑品质">'比较法-住宅'!$B$107:$M$107</definedName>
    <definedName name="住宅交易情况" localSheetId="27">'比较法-公寓'!$A$61:$M$61</definedName>
    <definedName name="住宅交易情况" localSheetId="17">'[1]比较法-住宅'!$A$61:$M$61</definedName>
    <definedName name="住宅交易情况" localSheetId="5">'[2]比较法-住宅'!$A$59:$M$59</definedName>
    <definedName name="住宅交易情况">'比较法-住宅'!$A$61:$M$61</definedName>
    <definedName name="住宅楼层" localSheetId="27">'比较法-公寓'!$B$86:$M$86</definedName>
    <definedName name="住宅楼层" localSheetId="17">'[1]比较法-住宅'!$B$86:$M$86</definedName>
    <definedName name="住宅楼层" localSheetId="5">'[2]比较法-住宅'!$B$82:$M$82</definedName>
    <definedName name="住宅楼层">'比较法-住宅'!$B$86:$M$86</definedName>
    <definedName name="住宅内部装修" localSheetId="27">'比较法-公寓'!$B$122:$M$122</definedName>
    <definedName name="住宅内部装修" localSheetId="17">'[1]比较法-住宅'!$B$122:$M$122</definedName>
    <definedName name="住宅内部装修" localSheetId="5">'[2]比较法-住宅'!$B$118:$M$118</definedName>
    <definedName name="住宅内部装修">'比较法-住宅'!$B$122:$M$122</definedName>
    <definedName name="住宅物业管理" localSheetId="27">'比较法-公寓'!$B$114:$M$114</definedName>
    <definedName name="住宅物业管理" localSheetId="17">'[1]比较法-住宅'!$B$114:$M$114</definedName>
    <definedName name="住宅物业管理" localSheetId="5">'[2]比较法-住宅'!$B$110:$M$110</definedName>
    <definedName name="住宅物业管理">'比较法-住宅'!$B$114:$M$114</definedName>
    <definedName name="住宅用途" localSheetId="27">'比较法-公寓'!$B$63:$M$63</definedName>
    <definedName name="住宅用途" localSheetId="17">'[1]比较法-住宅'!$B$63:$M$63</definedName>
    <definedName name="住宅用途" localSheetId="5">'[2]比较法-住宅'!$B$61:$M$61</definedName>
    <definedName name="住宅用途">'比较法-住宅'!$B$63:$M$63</definedName>
    <definedName name="住宅主力户型面积" localSheetId="27">'比较法-公寓'!$B$120:$M$120</definedName>
    <definedName name="住宅主力户型面积">'比较法-住宅'!$B$120:$M$120</definedName>
    <definedName name="注册房地产估价师" localSheetId="17">[1]估价师及机构信息!$A$3:$A$24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37" i="9" l="1"/>
  <c r="K33" i="9"/>
  <c r="Q17" i="3"/>
  <c r="K34" i="9"/>
  <c r="E46" i="39"/>
  <c r="E47" i="21"/>
  <c r="I47" i="21"/>
  <c r="B28" i="1" l="1"/>
  <c r="I47" i="79"/>
  <c r="G47" i="79"/>
  <c r="E47" i="79"/>
  <c r="E41" i="9" l="1"/>
  <c r="B41" i="9"/>
  <c r="B40" i="9"/>
  <c r="M14" i="3"/>
  <c r="H68" i="74"/>
  <c r="M74" i="9" l="1"/>
  <c r="M72" i="9"/>
  <c r="L85" i="9"/>
  <c r="L93" i="9" s="1"/>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E40" i="9"/>
  <c r="C38" i="9" s="1"/>
  <c r="D22" i="82" l="1"/>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C23" i="6"/>
  <c r="C20" i="6"/>
  <c r="C19" i="6"/>
  <c r="A3" i="3"/>
  <c r="K20" i="3"/>
  <c r="F23" i="6" s="1"/>
  <c r="I18" i="3"/>
  <c r="E9" i="6"/>
  <c r="K15" i="3"/>
  <c r="F20" i="6"/>
  <c r="D73" i="74"/>
  <c r="D71" i="74"/>
  <c r="C72" i="74"/>
  <c r="C70" i="74"/>
  <c r="C69" i="74"/>
  <c r="C68" i="74"/>
  <c r="C67" i="74"/>
  <c r="C66" i="74"/>
  <c r="D74" i="74"/>
  <c r="D61" i="74"/>
  <c r="D55" i="74"/>
  <c r="R7" i="74"/>
  <c r="Q2" i="74"/>
  <c r="D56" i="74"/>
  <c r="D58" i="74" s="1"/>
  <c r="C65" i="74" s="1"/>
  <c r="I13" i="3" l="1"/>
  <c r="F19" i="6" s="1"/>
  <c r="C74" i="74"/>
  <c r="G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AC17" i="79" l="1"/>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G13" i="4" l="1"/>
  <c r="R6" i="74" l="1"/>
  <c r="E17" i="74"/>
  <c r="D6" i="74"/>
  <c r="D9" i="74"/>
  <c r="D10" i="74"/>
  <c r="Q72" i="77" l="1"/>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E57" i="39" l="1"/>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F5" i="73"/>
  <c r="F3" i="73"/>
  <c r="F4" i="73"/>
  <c r="D7" i="73"/>
  <c r="D6" i="73"/>
  <c r="D3" i="73"/>
  <c r="F6" i="73"/>
  <c r="D5" i="73"/>
  <c r="I1" i="73" l="1"/>
  <c r="B39" i="1" s="1"/>
  <c r="D3" i="34"/>
  <c r="D3" i="33"/>
  <c r="M11" i="82" l="1"/>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2" l="1"/>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12" i="1"/>
  <c r="G12" i="1" s="1"/>
  <c r="F13" i="1"/>
  <c r="D6" i="1"/>
  <c r="D9" i="1"/>
  <c r="D10" i="1"/>
  <c r="D11" i="1"/>
  <c r="D12" i="1"/>
  <c r="D13" i="1"/>
  <c r="D7" i="1"/>
  <c r="D8" i="1"/>
  <c r="A7" i="1"/>
  <c r="A8" i="1"/>
  <c r="G1" i="82" s="1"/>
  <c r="A9" i="1"/>
  <c r="A10" i="1"/>
  <c r="B10" i="1" s="1"/>
  <c r="E10" i="1" s="1"/>
  <c r="A11" i="1"/>
  <c r="A12" i="1"/>
  <c r="K12" i="1" s="1"/>
  <c r="M12" i="1" s="1"/>
  <c r="O12" i="1" s="1"/>
  <c r="P12" i="1" s="1"/>
  <c r="A13" i="1"/>
  <c r="A6" i="1"/>
  <c r="B7" i="1"/>
  <c r="E7" i="1" s="1"/>
  <c r="B12" i="1"/>
  <c r="E12"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W43" i="39"/>
  <c r="U45" i="39"/>
  <c r="AB45" i="39"/>
  <c r="AB44" i="39"/>
  <c r="U44" i="39"/>
  <c r="G101" i="39"/>
  <c r="AC13" i="39"/>
  <c r="H37" i="39"/>
  <c r="AB37" i="39" s="1"/>
  <c r="AC37" i="39"/>
  <c r="W37" i="39"/>
  <c r="AC12" i="39"/>
  <c r="W12" i="39"/>
  <c r="H21" i="39"/>
  <c r="AB21" i="39" s="1"/>
  <c r="F21" i="39"/>
  <c r="S21" i="39" s="1"/>
  <c r="W42" i="39"/>
  <c r="W27"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F36" i="82"/>
  <c r="F16" i="82"/>
  <c r="F26" i="82"/>
  <c r="C76" i="82"/>
  <c r="M27" i="82"/>
  <c r="F42" i="82"/>
  <c r="F9" i="82"/>
  <c r="M28" i="82"/>
  <c r="M23" i="82"/>
  <c r="M24" i="82"/>
  <c r="L47" i="82"/>
  <c r="J15" i="82"/>
  <c r="F6" i="82"/>
  <c r="M6" i="82"/>
  <c r="F7" i="82"/>
  <c r="F8" i="82"/>
  <c r="M22" i="82"/>
  <c r="F40" i="82"/>
  <c r="M9" i="82"/>
  <c r="M8" i="82"/>
  <c r="F37" i="82"/>
  <c r="F38" i="82"/>
  <c r="M26" i="82"/>
  <c r="F13" i="82"/>
  <c r="J25" i="39" l="1"/>
  <c r="F99" i="39"/>
  <c r="G99" i="39" s="1"/>
  <c r="H25" i="39"/>
  <c r="U25" i="39" s="1"/>
  <c r="F25" i="39"/>
  <c r="AA25" i="39" s="1"/>
  <c r="C27" i="82"/>
  <c r="F65" i="82"/>
  <c r="F50" i="82"/>
  <c r="M7" i="82"/>
  <c r="J10" i="82" s="1"/>
  <c r="F68" i="82"/>
  <c r="J6" i="82"/>
  <c r="F64" i="82"/>
  <c r="Q71" i="82"/>
  <c r="F66" i="82"/>
  <c r="C6" i="82"/>
  <c r="C5" i="82" s="1"/>
  <c r="F51" i="82"/>
  <c r="B8" i="1"/>
  <c r="E8" i="1" s="1"/>
  <c r="J51" i="77"/>
  <c r="J51" i="82"/>
  <c r="J51" i="81"/>
  <c r="C7" i="79"/>
  <c r="F9" i="1"/>
  <c r="F11" i="1"/>
  <c r="AB25" i="39"/>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73" i="3"/>
  <c r="AZ81" i="3"/>
  <c r="AZ90" i="3"/>
  <c r="AZ96" i="3"/>
  <c r="AZ99" i="3"/>
  <c r="AZ106" i="3"/>
  <c r="AZ112" i="3"/>
  <c r="G1" i="75"/>
  <c r="G1" i="81"/>
  <c r="S43" i="39"/>
  <c r="BA18" i="3"/>
  <c r="S13" i="1"/>
  <c r="R13" i="1"/>
  <c r="S12" i="1"/>
  <c r="R12" i="1"/>
  <c r="D7" i="12"/>
  <c r="G18" i="3"/>
  <c r="BM5" i="3"/>
  <c r="G17" i="3"/>
  <c r="BL16" i="3"/>
  <c r="G20" i="3"/>
  <c r="K6" i="1"/>
  <c r="M6" i="1" s="1"/>
  <c r="D3" i="21"/>
  <c r="F7" i="12"/>
  <c r="D3" i="79"/>
  <c r="I4" i="6"/>
  <c r="J15" i="21"/>
  <c r="W15" i="21" s="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F29" i="6"/>
  <c r="E29" i="6" s="1"/>
  <c r="K15" i="1" s="1"/>
  <c r="BD5" i="3"/>
  <c r="G19" i="3"/>
  <c r="BL18" i="3"/>
  <c r="AZ18" i="3" s="1"/>
  <c r="BT5" i="3"/>
  <c r="G28" i="6" s="1"/>
  <c r="G30" i="6" s="1"/>
  <c r="G31" i="6" s="1"/>
  <c r="BC5" i="3"/>
  <c r="BE5" i="3"/>
  <c r="G16" i="3"/>
  <c r="BA17" i="3"/>
  <c r="H5" i="3"/>
  <c r="BA15" i="3"/>
  <c r="AZ15" i="3" s="1"/>
  <c r="BL13" i="3"/>
  <c r="AZ13" i="3" s="1"/>
  <c r="BQ5" i="3"/>
  <c r="F28" i="6" s="1"/>
  <c r="F7" i="1"/>
  <c r="G7" i="1" s="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G9" i="1"/>
  <c r="C10" i="75"/>
  <c r="AZ16" i="3"/>
  <c r="BA14" i="3"/>
  <c r="AZ14" i="3" s="1"/>
  <c r="M8" i="1"/>
  <c r="G8" i="1"/>
  <c r="J51" i="67"/>
  <c r="J51" i="76"/>
  <c r="J51" i="75"/>
  <c r="AC21" i="39"/>
  <c r="U21" i="39"/>
  <c r="W19" i="39"/>
  <c r="S19" i="39"/>
  <c r="U40" i="39"/>
  <c r="S32" i="39"/>
  <c r="F81" i="39"/>
  <c r="J15" i="39"/>
  <c r="F15" i="39"/>
  <c r="H15" i="39"/>
  <c r="F89" i="39"/>
  <c r="G89" i="39" s="1"/>
  <c r="AA12" i="39"/>
  <c r="G14" i="3"/>
  <c r="G13" i="3"/>
  <c r="BB5" i="3"/>
  <c r="BL17" i="3"/>
  <c r="A15" i="62"/>
  <c r="B61" i="72" s="1"/>
  <c r="U29" i="34"/>
  <c r="E32" i="6"/>
  <c r="L21" i="6" s="1"/>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T35" i="4"/>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J5" i="82" l="1"/>
  <c r="J24" i="82" s="1"/>
  <c r="C49" i="82"/>
  <c r="C53" i="82"/>
  <c r="C38" i="82"/>
  <c r="C32" i="82"/>
  <c r="G7" i="21"/>
  <c r="I7" i="21"/>
  <c r="E7" i="21"/>
  <c r="G11" i="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C10" i="77"/>
  <c r="I20" i="43"/>
  <c r="C20" i="43" s="1"/>
  <c r="AP6" i="1"/>
  <c r="W17" i="21"/>
  <c r="AB15" i="21"/>
  <c r="AA29" i="21"/>
  <c r="S13" i="21"/>
  <c r="AB41" i="39"/>
  <c r="BA5" i="3"/>
  <c r="BL5" i="3"/>
  <c r="L19" i="6"/>
  <c r="AZ20" i="3"/>
  <c r="E14" i="6"/>
  <c r="E59" i="40" s="1"/>
  <c r="P10" i="1"/>
  <c r="M11" i="1"/>
  <c r="AP11" i="1"/>
  <c r="M9" i="1"/>
  <c r="E5" i="6"/>
  <c r="D9" i="11" s="1"/>
  <c r="AZ17" i="3"/>
  <c r="E28" i="6"/>
  <c r="E30" i="6" s="1"/>
  <c r="F30" i="6"/>
  <c r="G5" i="3"/>
  <c r="B3"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64"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J53" i="67"/>
  <c r="K53" i="67"/>
  <c r="AP7" i="1"/>
  <c r="M7" i="1"/>
  <c r="O7" i="1" s="1"/>
  <c r="Q16" i="1"/>
  <c r="F27" i="69" s="1"/>
  <c r="H16" i="1"/>
  <c r="AB45" i="21"/>
  <c r="W32" i="21"/>
  <c r="AC32" i="21"/>
  <c r="AB9" i="21"/>
  <c r="U9" i="21"/>
  <c r="AA32" i="21"/>
  <c r="S32" i="21"/>
  <c r="W9" i="21"/>
  <c r="AC9" i="21"/>
  <c r="AB32" i="21"/>
  <c r="U32" i="21"/>
  <c r="AA10" i="21"/>
  <c r="S10" i="21"/>
  <c r="F13" i="77"/>
  <c r="M24" i="75"/>
  <c r="F9" i="76"/>
  <c r="L48" i="76"/>
  <c r="M29" i="77"/>
  <c r="M24" i="76"/>
  <c r="F13" i="76"/>
  <c r="F42" i="77"/>
  <c r="F26" i="77"/>
  <c r="M26" i="75"/>
  <c r="M27" i="81"/>
  <c r="C76" i="75"/>
  <c r="F16" i="81"/>
  <c r="M23" i="67"/>
  <c r="M24" i="77"/>
  <c r="F36" i="75"/>
  <c r="F38" i="67"/>
  <c r="M26" i="76"/>
  <c r="M9" i="76"/>
  <c r="M24" i="81"/>
  <c r="F16" i="15"/>
  <c r="F37" i="75"/>
  <c r="L47" i="77"/>
  <c r="M6" i="76"/>
  <c r="L47" i="76"/>
  <c r="F37" i="67"/>
  <c r="M9" i="75"/>
  <c r="F40" i="67"/>
  <c r="M6" i="15"/>
  <c r="M23" i="15"/>
  <c r="J15" i="77"/>
  <c r="M29" i="82"/>
  <c r="F40" i="15"/>
  <c r="M24" i="67"/>
  <c r="F9" i="67"/>
  <c r="F38" i="75"/>
  <c r="L48" i="15"/>
  <c r="G1" i="73"/>
  <c r="F7" i="15"/>
  <c r="M26" i="67"/>
  <c r="F8" i="15"/>
  <c r="L47" i="81"/>
  <c r="F42" i="67"/>
  <c r="J15" i="76"/>
  <c r="M6" i="67"/>
  <c r="F8" i="76"/>
  <c r="F26" i="76"/>
  <c r="F43" i="82"/>
  <c r="L47" i="15"/>
  <c r="M8" i="76"/>
  <c r="F7" i="75"/>
  <c r="F42" i="76"/>
  <c r="F36" i="67"/>
  <c r="M6" i="77"/>
  <c r="F16" i="67"/>
  <c r="M8" i="15"/>
  <c r="M27" i="75"/>
  <c r="F26" i="15"/>
  <c r="F7" i="77"/>
  <c r="M29" i="76"/>
  <c r="M8" i="77"/>
  <c r="F16" i="75"/>
  <c r="L48" i="75"/>
  <c r="J15" i="67"/>
  <c r="F13" i="75"/>
  <c r="C76" i="77"/>
  <c r="M29" i="75"/>
  <c r="M24" i="15"/>
  <c r="J15" i="81"/>
  <c r="M29" i="15"/>
  <c r="M28" i="76"/>
  <c r="F6" i="15"/>
  <c r="M28" i="67"/>
  <c r="M23" i="76"/>
  <c r="M9" i="67"/>
  <c r="F26" i="67"/>
  <c r="F6" i="67"/>
  <c r="F36" i="77"/>
  <c r="M26" i="15"/>
  <c r="M26" i="81"/>
  <c r="M9" i="77"/>
  <c r="F37" i="77"/>
  <c r="F13" i="15"/>
  <c r="M23" i="77"/>
  <c r="F7" i="67"/>
  <c r="M22" i="76"/>
  <c r="L48" i="67"/>
  <c r="F43" i="75"/>
  <c r="F8" i="67"/>
  <c r="F40" i="77"/>
  <c r="F43" i="76"/>
  <c r="M22" i="77"/>
  <c r="M27" i="77"/>
  <c r="M6" i="81"/>
  <c r="L48" i="82"/>
  <c r="F8" i="75"/>
  <c r="F36" i="76"/>
  <c r="F43" i="77"/>
  <c r="F9" i="77"/>
  <c r="F38" i="76"/>
  <c r="M28" i="77"/>
  <c r="F40" i="75"/>
  <c r="L47" i="67"/>
  <c r="M28" i="15"/>
  <c r="M9" i="81"/>
  <c r="C76" i="81"/>
  <c r="M29" i="81"/>
  <c r="F16" i="76"/>
  <c r="M27" i="76"/>
  <c r="F16" i="77"/>
  <c r="F43" i="15"/>
  <c r="J15" i="75"/>
  <c r="C76" i="67"/>
  <c r="M8" i="67"/>
  <c r="M22" i="75"/>
  <c r="M6" i="75"/>
  <c r="F40" i="76"/>
  <c r="F8" i="77"/>
  <c r="M26" i="77"/>
  <c r="F38" i="15"/>
  <c r="M22" i="81"/>
  <c r="M8" i="81"/>
  <c r="F6" i="75"/>
  <c r="F26" i="75"/>
  <c r="F36" i="15"/>
  <c r="M9" i="15"/>
  <c r="C76" i="15"/>
  <c r="F43" i="67"/>
  <c r="F9" i="15"/>
  <c r="F6" i="77"/>
  <c r="F7" i="76"/>
  <c r="J15" i="15"/>
  <c r="F37" i="15"/>
  <c r="M29" i="67"/>
  <c r="M23" i="81"/>
  <c r="F37" i="76"/>
  <c r="L48" i="81"/>
  <c r="M28" i="75"/>
  <c r="F13" i="67"/>
  <c r="L48" i="77"/>
  <c r="F9" i="75"/>
  <c r="L47" i="75"/>
  <c r="C76" i="76"/>
  <c r="M23" i="75"/>
  <c r="M8" i="75"/>
  <c r="F42" i="75"/>
  <c r="M22" i="67"/>
  <c r="M22" i="15"/>
  <c r="F42" i="15"/>
  <c r="F38" i="77"/>
  <c r="F6" i="76"/>
  <c r="M28" i="81"/>
  <c r="AE9" i="1"/>
  <c r="C16" i="82"/>
  <c r="J26" i="82" l="1"/>
  <c r="J18" i="82"/>
  <c r="C6" i="76"/>
  <c r="C5" i="76" s="1"/>
  <c r="C32" i="76" s="1"/>
  <c r="F66" i="77"/>
  <c r="Q71" i="76"/>
  <c r="L58" i="75"/>
  <c r="Q60" i="75" s="1"/>
  <c r="L59" i="75"/>
  <c r="K53" i="77"/>
  <c r="L56" i="77"/>
  <c r="L57" i="77"/>
  <c r="J57" i="77"/>
  <c r="J53" i="77"/>
  <c r="F1" i="77" s="1"/>
  <c r="K53" i="81"/>
  <c r="J57" i="81"/>
  <c r="L56" i="81"/>
  <c r="L57" i="81"/>
  <c r="L60" i="81" s="1"/>
  <c r="Q66" i="81" s="1"/>
  <c r="J53" i="81"/>
  <c r="F65" i="76"/>
  <c r="F65" i="15"/>
  <c r="F50" i="76"/>
  <c r="M7" i="76"/>
  <c r="J6" i="76" s="1"/>
  <c r="C6" i="77"/>
  <c r="F71" i="67"/>
  <c r="Q71" i="15"/>
  <c r="F64" i="15"/>
  <c r="C27" i="75"/>
  <c r="C6" i="75"/>
  <c r="C5" i="75" s="1"/>
  <c r="C38" i="75" s="1"/>
  <c r="F66" i="15"/>
  <c r="F51" i="77"/>
  <c r="F68" i="76"/>
  <c r="Q71" i="67"/>
  <c r="F71" i="15"/>
  <c r="Q71" i="81"/>
  <c r="L58" i="67"/>
  <c r="Q73" i="67" s="1"/>
  <c r="L59" i="67"/>
  <c r="F68" i="75"/>
  <c r="F66" i="76"/>
  <c r="F71" i="77"/>
  <c r="F64" i="76"/>
  <c r="F51" i="75"/>
  <c r="L57" i="82"/>
  <c r="L58" i="82"/>
  <c r="Q60" i="82" s="1"/>
  <c r="L60" i="82"/>
  <c r="L56" i="82"/>
  <c r="K53" i="82"/>
  <c r="J53" i="82"/>
  <c r="Q52" i="82" s="1"/>
  <c r="J57" i="82"/>
  <c r="J6" i="81"/>
  <c r="J10" i="81"/>
  <c r="F71" i="76"/>
  <c r="F68" i="77"/>
  <c r="F51" i="67"/>
  <c r="F71" i="75"/>
  <c r="J57" i="67"/>
  <c r="L57" i="67"/>
  <c r="L56" i="67"/>
  <c r="M7" i="67"/>
  <c r="J6" i="67" s="1"/>
  <c r="F50" i="67"/>
  <c r="F65" i="77"/>
  <c r="F64" i="77"/>
  <c r="C10" i="67"/>
  <c r="C6" i="67"/>
  <c r="C27" i="67"/>
  <c r="C6" i="15"/>
  <c r="C5" i="15" s="1"/>
  <c r="C32" i="15" s="1"/>
  <c r="Q71" i="77"/>
  <c r="K53" i="75"/>
  <c r="L56" i="75"/>
  <c r="J53" i="75"/>
  <c r="F1" i="75" s="1"/>
  <c r="L57" i="75"/>
  <c r="J57" i="75"/>
  <c r="F50" i="77"/>
  <c r="M7" i="77"/>
  <c r="J6" i="77" s="1"/>
  <c r="C27" i="15"/>
  <c r="F64" i="67"/>
  <c r="F50" i="75"/>
  <c r="M7" i="75"/>
  <c r="J6" i="75" s="1"/>
  <c r="L59" i="15"/>
  <c r="Q74" i="15" s="1"/>
  <c r="L58" i="15"/>
  <c r="Q73" i="15" s="1"/>
  <c r="F71" i="82"/>
  <c r="C27" i="76"/>
  <c r="F51" i="76"/>
  <c r="F70" i="67"/>
  <c r="L59" i="81"/>
  <c r="L58" i="81"/>
  <c r="Q60" i="81" s="1"/>
  <c r="F51" i="15"/>
  <c r="M7" i="15"/>
  <c r="J6" i="15" s="1"/>
  <c r="F50" i="15"/>
  <c r="B40" i="1"/>
  <c r="F24" i="82" s="1"/>
  <c r="J53" i="15"/>
  <c r="L56" i="15"/>
  <c r="K53" i="15"/>
  <c r="J57" i="15"/>
  <c r="F66" i="75"/>
  <c r="F68" i="15"/>
  <c r="F68" i="67"/>
  <c r="F65" i="67"/>
  <c r="L58" i="76"/>
  <c r="Q60" i="76" s="1"/>
  <c r="L59" i="76"/>
  <c r="L60" i="76" s="1"/>
  <c r="Q57" i="76" s="1"/>
  <c r="L59" i="77"/>
  <c r="Q61" i="77" s="1"/>
  <c r="L58" i="77"/>
  <c r="Q60" i="77" s="1"/>
  <c r="F65" i="75"/>
  <c r="F66" i="67"/>
  <c r="F64" i="75"/>
  <c r="Q71" i="75"/>
  <c r="C27" i="77"/>
  <c r="L57" i="76"/>
  <c r="J57" i="76"/>
  <c r="K53" i="76"/>
  <c r="J53" i="76"/>
  <c r="L56" i="76"/>
  <c r="C48" i="82"/>
  <c r="C66" i="82" s="1"/>
  <c r="E360" i="3"/>
  <c r="C33" i="79"/>
  <c r="C33" i="21"/>
  <c r="F1" i="82"/>
  <c r="S7" i="79"/>
  <c r="AA7" i="79"/>
  <c r="AB7" i="79"/>
  <c r="U7" i="79"/>
  <c r="Q66" i="82"/>
  <c r="Q57" i="82"/>
  <c r="Q74" i="82"/>
  <c r="Q61" i="82"/>
  <c r="W7" i="79"/>
  <c r="AC7" i="79"/>
  <c r="Q73" i="82"/>
  <c r="C24" i="82"/>
  <c r="AZ5" i="3"/>
  <c r="Q74" i="81"/>
  <c r="Q61" i="81"/>
  <c r="O11" i="1"/>
  <c r="P11" i="1" s="1"/>
  <c r="Q73" i="81"/>
  <c r="J5" i="81"/>
  <c r="Q52" i="81"/>
  <c r="F1" i="81"/>
  <c r="Q57" i="81"/>
  <c r="F69" i="81"/>
  <c r="F24" i="77"/>
  <c r="C24" i="77" s="1"/>
  <c r="C5" i="77"/>
  <c r="C32" i="77" s="1"/>
  <c r="C49" i="77"/>
  <c r="L60" i="77"/>
  <c r="Q66" i="77" s="1"/>
  <c r="H81" i="39"/>
  <c r="I81" i="39" s="1"/>
  <c r="J81" i="39" s="1"/>
  <c r="K81" i="39" s="1"/>
  <c r="L81" i="39" s="1"/>
  <c r="M81" i="39" s="1"/>
  <c r="K14" i="1"/>
  <c r="M14" i="1" s="1"/>
  <c r="O14" i="1" s="1"/>
  <c r="P14" i="1" s="1"/>
  <c r="C36" i="69"/>
  <c r="Q73" i="76"/>
  <c r="C49" i="76"/>
  <c r="E283" i="3"/>
  <c r="C38" i="76"/>
  <c r="Q74" i="77"/>
  <c r="O9" i="1"/>
  <c r="P9" i="1" s="1"/>
  <c r="Q52" i="77"/>
  <c r="J10" i="76"/>
  <c r="J5" i="76"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C53" i="77"/>
  <c r="J10" i="77"/>
  <c r="J5" i="77" s="1"/>
  <c r="C32" i="75"/>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L60" i="75"/>
  <c r="Q66" i="76"/>
  <c r="Q52" i="76"/>
  <c r="F1" i="76"/>
  <c r="Q74" i="75"/>
  <c r="Q61" i="75"/>
  <c r="Q74" i="76"/>
  <c r="Q52" i="75"/>
  <c r="F24" i="75"/>
  <c r="C24" i="75" s="1"/>
  <c r="E58" i="40"/>
  <c r="E63" i="39"/>
  <c r="F27" i="6"/>
  <c r="E16" i="6"/>
  <c r="E56" i="39"/>
  <c r="E51" i="40"/>
  <c r="E57" i="40"/>
  <c r="E62" i="39"/>
  <c r="E60" i="40"/>
  <c r="E65" i="39"/>
  <c r="E61" i="39"/>
  <c r="E56" i="40"/>
  <c r="F7" i="36"/>
  <c r="H7" i="37"/>
  <c r="U7" i="37" s="1"/>
  <c r="J10" i="15"/>
  <c r="J5" i="15" s="1"/>
  <c r="J24" i="15" s="1"/>
  <c r="C47" i="69"/>
  <c r="D45" i="69" s="1"/>
  <c r="C29" i="69"/>
  <c r="D27" i="69" s="1"/>
  <c r="F27" i="68"/>
  <c r="C29" i="68" s="1"/>
  <c r="D27" i="68" s="1"/>
  <c r="F28" i="12"/>
  <c r="C29" i="12" s="1"/>
  <c r="D28" i="12" s="1"/>
  <c r="P7" i="1"/>
  <c r="C38" i="43"/>
  <c r="G38" i="43" s="1"/>
  <c r="I38" i="43" s="1"/>
  <c r="F24" i="15"/>
  <c r="C24" i="15" s="1"/>
  <c r="F25" i="12"/>
  <c r="F24" i="67"/>
  <c r="C24" i="67" s="1"/>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C53" i="15"/>
  <c r="J10" i="67"/>
  <c r="J5" i="67" s="1"/>
  <c r="C53" i="67"/>
  <c r="F10" i="40"/>
  <c r="AA10" i="40" s="1"/>
  <c r="H10" i="39"/>
  <c r="J10" i="39"/>
  <c r="Q61" i="15"/>
  <c r="C49" i="15"/>
  <c r="Q60" i="67"/>
  <c r="F27" i="11"/>
  <c r="Q61" i="67"/>
  <c r="Q74" i="67"/>
  <c r="F1" i="67"/>
  <c r="Q52" i="67"/>
  <c r="C16" i="67"/>
  <c r="C16" i="76"/>
  <c r="C16" i="81"/>
  <c r="AE10" i="1"/>
  <c r="C16" i="77"/>
  <c r="C16" i="75"/>
  <c r="C16" i="15"/>
  <c r="AE11" i="1"/>
  <c r="C5" i="67" l="1"/>
  <c r="C38" i="67" s="1"/>
  <c r="C49" i="67"/>
  <c r="C53" i="75"/>
  <c r="C53" i="76"/>
  <c r="C48" i="76" s="1"/>
  <c r="Q60" i="15"/>
  <c r="F22" i="68"/>
  <c r="C44" i="68" s="1"/>
  <c r="D41" i="68" s="1"/>
  <c r="F22" i="69"/>
  <c r="C26" i="69" s="1"/>
  <c r="D22" i="69" s="1"/>
  <c r="F22" i="11"/>
  <c r="C26" i="11" s="1"/>
  <c r="D22" i="11" s="1"/>
  <c r="F24" i="76"/>
  <c r="C24" i="76" s="1"/>
  <c r="Q61" i="76"/>
  <c r="Q73" i="77"/>
  <c r="C49" i="75"/>
  <c r="J10" i="75"/>
  <c r="J5" i="75" s="1"/>
  <c r="J26" i="75" s="1"/>
  <c r="F24" i="81"/>
  <c r="C24" i="81" s="1"/>
  <c r="Q73" i="75"/>
  <c r="C60" i="82"/>
  <c r="C38" i="77"/>
  <c r="J26" i="81"/>
  <c r="J29" i="81" s="1"/>
  <c r="J24" i="81"/>
  <c r="J18" i="81"/>
  <c r="C48" i="77"/>
  <c r="C60" i="77" s="1"/>
  <c r="K16" i="1"/>
  <c r="B29" i="1" s="1"/>
  <c r="Q57" i="77"/>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J18" i="76"/>
  <c r="J24" i="76"/>
  <c r="J26" i="76"/>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L100" i="9" s="1"/>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C25" i="11" s="1"/>
  <c r="M18" i="9"/>
  <c r="AB7" i="37"/>
  <c r="T42" i="37" s="1"/>
  <c r="G42" i="37" s="1"/>
  <c r="G46" i="37" s="1"/>
  <c r="H46" i="37" s="1"/>
  <c r="C66" i="77"/>
  <c r="J26" i="77"/>
  <c r="J24" i="77"/>
  <c r="J18" i="77"/>
  <c r="E37" i="43"/>
  <c r="AC32" i="39"/>
  <c r="W32" i="39"/>
  <c r="Q57" i="75"/>
  <c r="Q66" i="75"/>
  <c r="F31" i="6"/>
  <c r="E27" i="6"/>
  <c r="E66" i="39"/>
  <c r="S7" i="36"/>
  <c r="AA7" i="36"/>
  <c r="R36" i="36" s="1"/>
  <c r="C38" i="15"/>
  <c r="E38" i="43"/>
  <c r="C47" i="68"/>
  <c r="D45" i="68" s="1"/>
  <c r="AA10" i="39"/>
  <c r="D20" i="6"/>
  <c r="C13" i="12"/>
  <c r="P16" i="1"/>
  <c r="C11" i="12" s="1"/>
  <c r="C26" i="12"/>
  <c r="D25" i="12" s="1"/>
  <c r="F34" i="11"/>
  <c r="AC10" i="40"/>
  <c r="C26" i="68"/>
  <c r="D22" i="68" s="1"/>
  <c r="C44" i="11"/>
  <c r="D41" i="11" s="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J18" i="67"/>
  <c r="J24" i="67"/>
  <c r="J18" i="15"/>
  <c r="W10" i="39"/>
  <c r="AC10" i="39"/>
  <c r="U10" i="39"/>
  <c r="AB10" i="39"/>
  <c r="F50" i="11"/>
  <c r="F50" i="69"/>
  <c r="F50" i="68"/>
  <c r="Q57" i="67"/>
  <c r="Q66" i="67"/>
  <c r="C47" i="11"/>
  <c r="D45" i="11" s="1"/>
  <c r="C29" i="11"/>
  <c r="D27" i="11" s="1"/>
  <c r="J59" i="67"/>
  <c r="J60" i="67" s="1"/>
  <c r="F41" i="82"/>
  <c r="C32" i="67" l="1"/>
  <c r="C44" i="69"/>
  <c r="D41" i="69" s="1"/>
  <c r="J18" i="75"/>
  <c r="C60" i="76"/>
  <c r="C66" i="76"/>
  <c r="C23" i="11"/>
  <c r="C48" i="75"/>
  <c r="J24" i="75"/>
  <c r="F69" i="82"/>
  <c r="J29" i="82"/>
  <c r="E9" i="69"/>
  <c r="C9" i="69" s="1"/>
  <c r="E9" i="68"/>
  <c r="C9" i="68" s="1"/>
  <c r="E19" i="12"/>
  <c r="C19" i="12" s="1"/>
  <c r="E9" i="11"/>
  <c r="C9" i="11" s="1"/>
  <c r="B118" i="9"/>
  <c r="L23" i="9"/>
  <c r="C8" i="68"/>
  <c r="C38" i="39"/>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36" i="11"/>
  <c r="C24" i="11"/>
  <c r="C22" i="11" s="1"/>
  <c r="C28" i="11"/>
  <c r="C27" i="11" s="1"/>
  <c r="AA7" i="34"/>
  <c r="R49" i="34" s="1"/>
  <c r="E49" i="34" s="1"/>
  <c r="AB38" i="39"/>
  <c r="C34" i="11"/>
  <c r="C35" i="11" s="1"/>
  <c r="K20" i="6"/>
  <c r="K24" i="6"/>
  <c r="E31" i="6"/>
  <c r="E38" i="6" s="1"/>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Q48" i="67"/>
  <c r="L46" i="67"/>
  <c r="C60" i="75" l="1"/>
  <c r="C66" i="75"/>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E10" i="70" s="1"/>
  <c r="C31" i="11"/>
  <c r="G54" i="34"/>
  <c r="H54" i="34" s="1"/>
  <c r="C38" i="11"/>
  <c r="C33" i="11" s="1"/>
  <c r="C42"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C17" i="15"/>
  <c r="C17" i="76"/>
  <c r="F35" i="76"/>
  <c r="M21" i="76"/>
  <c r="C17" i="82"/>
  <c r="C17" i="75"/>
  <c r="C17" i="77"/>
  <c r="C17" i="81"/>
  <c r="E11" i="70" l="1"/>
  <c r="C35" i="68"/>
  <c r="C33" i="68" s="1"/>
  <c r="C19" i="81"/>
  <c r="C21" i="12"/>
  <c r="W38" i="39"/>
  <c r="AC38" i="39"/>
  <c r="S38" i="39"/>
  <c r="AA38" i="39"/>
  <c r="R10" i="1"/>
  <c r="S21" i="6"/>
  <c r="S23" i="6"/>
  <c r="I5" i="6"/>
  <c r="I6" i="6"/>
  <c r="T10" i="1"/>
  <c r="AR10" i="1"/>
  <c r="AQ10" i="1"/>
  <c r="T11" i="1"/>
  <c r="AR11" i="1"/>
  <c r="AQ11" i="1"/>
  <c r="H22" i="6"/>
  <c r="R22" i="6" s="1"/>
  <c r="R9" i="1" s="1"/>
  <c r="H20" i="6"/>
  <c r="R20" i="6" s="1"/>
  <c r="R7" i="1" s="1"/>
  <c r="E9" i="70"/>
  <c r="AQ9" i="1"/>
  <c r="AR9" i="1"/>
  <c r="T9" i="1"/>
  <c r="C34" i="76"/>
  <c r="F63" i="76"/>
  <c r="C62" i="76" s="1"/>
  <c r="J20" i="76"/>
  <c r="AQ8" i="1"/>
  <c r="AR8" i="1"/>
  <c r="T8" i="1"/>
  <c r="AR7" i="1"/>
  <c r="T7" i="1"/>
  <c r="AQ7" i="1"/>
  <c r="I19" i="6"/>
  <c r="M27" i="6"/>
  <c r="AQ6" i="1"/>
  <c r="AR6" i="1"/>
  <c r="E6" i="70"/>
  <c r="T6" i="1"/>
  <c r="C24" i="68"/>
  <c r="C22" i="12"/>
  <c r="I63" i="40"/>
  <c r="H65" i="40"/>
  <c r="C39" i="11"/>
  <c r="C43" i="11" s="1"/>
  <c r="C41" i="11" s="1"/>
  <c r="I70" i="39"/>
  <c r="M21" i="82"/>
  <c r="C14" i="82"/>
  <c r="M21" i="77"/>
  <c r="C14" i="77"/>
  <c r="F35" i="77"/>
  <c r="C14" i="75"/>
  <c r="C14" i="76"/>
  <c r="F35" i="82"/>
  <c r="M21" i="81"/>
  <c r="I7" i="6" l="1"/>
  <c r="G3" i="43" s="1"/>
  <c r="C11" i="39"/>
  <c r="C18" i="82"/>
  <c r="C15" i="82"/>
  <c r="C34" i="82"/>
  <c r="F63" i="82"/>
  <c r="C62" i="82" s="1"/>
  <c r="J20" i="82"/>
  <c r="C20" i="81"/>
  <c r="C26" i="81" s="1"/>
  <c r="C34" i="81"/>
  <c r="F63" i="81"/>
  <c r="C62" i="81" s="1"/>
  <c r="J20" i="81"/>
  <c r="F22" i="43"/>
  <c r="F101" i="43"/>
  <c r="K101" i="43"/>
  <c r="N104" i="46"/>
  <c r="C101" i="43"/>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B113" i="43"/>
  <c r="N101" i="43"/>
  <c r="E22" i="43"/>
  <c r="J101" i="43"/>
  <c r="G101" i="43"/>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J20" i="77"/>
  <c r="C34" i="77"/>
  <c r="F63" i="77"/>
  <c r="C62" i="77" s="1"/>
  <c r="C18" i="77"/>
  <c r="C15" i="77"/>
  <c r="C15" i="75"/>
  <c r="C18" i="75"/>
  <c r="C15" i="76"/>
  <c r="C18" i="76"/>
  <c r="H19" i="6"/>
  <c r="I27" i="6"/>
  <c r="S19" i="6"/>
  <c r="S27" i="6" s="1"/>
  <c r="C39" i="68"/>
  <c r="C43" i="68" s="1"/>
  <c r="C42" i="68"/>
  <c r="J63" i="40"/>
  <c r="I65" i="40"/>
  <c r="C46" i="11"/>
  <c r="C45" i="11" s="1"/>
  <c r="C49" i="11" s="1"/>
  <c r="C51" i="11" s="1"/>
  <c r="C52" i="11" s="1"/>
  <c r="B2" i="11" s="1"/>
  <c r="B3" i="11" s="1"/>
  <c r="J70" i="39"/>
  <c r="C19" i="82" l="1"/>
  <c r="C20" i="82" s="1"/>
  <c r="C23" i="81"/>
  <c r="C29" i="81" s="1"/>
  <c r="F104" i="43"/>
  <c r="F109" i="43"/>
  <c r="F103" i="43"/>
  <c r="F105" i="43"/>
  <c r="F102" i="43"/>
  <c r="F107" i="43"/>
  <c r="F106" i="43"/>
  <c r="D109" i="43"/>
  <c r="D103" i="43"/>
  <c r="D104" i="43"/>
  <c r="D107" i="43"/>
  <c r="D105" i="43"/>
  <c r="D106" i="43"/>
  <c r="D102" i="43"/>
  <c r="G105" i="43"/>
  <c r="G106" i="43"/>
  <c r="G109" i="43"/>
  <c r="G104" i="43"/>
  <c r="G102" i="43"/>
  <c r="G103" i="43"/>
  <c r="G107" i="43"/>
  <c r="D22" i="43"/>
  <c r="B115" i="43"/>
  <c r="G118" i="43"/>
  <c r="H118" i="43" s="1"/>
  <c r="D118" i="43"/>
  <c r="E118" i="43" s="1"/>
  <c r="F118" i="43" s="1"/>
  <c r="B117" i="43"/>
  <c r="C117" i="43" s="1"/>
  <c r="I117" i="43"/>
  <c r="J117" i="43" s="1"/>
  <c r="K117" i="43" s="1"/>
  <c r="L117" i="43" s="1"/>
  <c r="M117" i="43" s="1"/>
  <c r="B118" i="43"/>
  <c r="C118" i="43" s="1"/>
  <c r="I116" i="43"/>
  <c r="J116" i="43" s="1"/>
  <c r="K116" i="43" s="1"/>
  <c r="L116" i="43" s="1"/>
  <c r="M116" i="43" s="1"/>
  <c r="I118" i="43"/>
  <c r="J118" i="43" s="1"/>
  <c r="K118" i="43" s="1"/>
  <c r="L118" i="43" s="1"/>
  <c r="M118" i="43" s="1"/>
  <c r="I115" i="43"/>
  <c r="J115" i="43" s="1"/>
  <c r="K115" i="43" s="1"/>
  <c r="L115" i="43" s="1"/>
  <c r="M115" i="43" s="1"/>
  <c r="D115" i="43"/>
  <c r="E115" i="43" s="1"/>
  <c r="F115" i="43" s="1"/>
  <c r="G115" i="43" s="1"/>
  <c r="H115" i="43" s="1"/>
  <c r="D116" i="43"/>
  <c r="E116" i="43" s="1"/>
  <c r="F116" i="43" s="1"/>
  <c r="G116" i="43" s="1"/>
  <c r="H116" i="43" s="1"/>
  <c r="B116" i="43"/>
  <c r="C116" i="43" s="1"/>
  <c r="D117" i="43"/>
  <c r="E117" i="43" s="1"/>
  <c r="F117" i="43" s="1"/>
  <c r="G117" i="43" s="1"/>
  <c r="H117" i="43" s="1"/>
  <c r="M109" i="43"/>
  <c r="M102" i="43"/>
  <c r="M106" i="43"/>
  <c r="M103" i="43"/>
  <c r="M104" i="43"/>
  <c r="M107" i="43"/>
  <c r="M105" i="43"/>
  <c r="I109" i="43"/>
  <c r="I102" i="43"/>
  <c r="I106" i="43"/>
  <c r="I103" i="43"/>
  <c r="I104" i="43"/>
  <c r="I107" i="43"/>
  <c r="I105" i="43"/>
  <c r="L109" i="43"/>
  <c r="L102" i="43"/>
  <c r="L105" i="43"/>
  <c r="L104" i="43"/>
  <c r="L106" i="43"/>
  <c r="L107" i="43"/>
  <c r="L103" i="43"/>
  <c r="J104" i="43"/>
  <c r="J106" i="43"/>
  <c r="J103" i="43"/>
  <c r="J102" i="43"/>
  <c r="J109" i="43"/>
  <c r="J107" i="43"/>
  <c r="J105" i="43"/>
  <c r="N102" i="43"/>
  <c r="N109" i="43"/>
  <c r="N103" i="43"/>
  <c r="N106" i="43"/>
  <c r="N105" i="43"/>
  <c r="N107" i="43"/>
  <c r="N104" i="43"/>
  <c r="E29" i="43"/>
  <c r="C26" i="43" s="1"/>
  <c r="B2" i="43" s="1"/>
  <c r="B3" i="43" s="1"/>
  <c r="C30" i="43"/>
  <c r="E30" i="43" s="1"/>
  <c r="C27" i="43" s="1"/>
  <c r="E102" i="43"/>
  <c r="E106" i="43"/>
  <c r="E103" i="43"/>
  <c r="E109" i="43"/>
  <c r="E104" i="43"/>
  <c r="E107" i="43"/>
  <c r="E105" i="43"/>
  <c r="H102" i="43"/>
  <c r="H103" i="43"/>
  <c r="H104" i="43"/>
  <c r="H107" i="43"/>
  <c r="H106" i="43"/>
  <c r="H105" i="43"/>
  <c r="H109" i="43"/>
  <c r="C104" i="43"/>
  <c r="C105" i="43"/>
  <c r="C103" i="43"/>
  <c r="C106" i="43"/>
  <c r="C109" i="43"/>
  <c r="C102" i="43"/>
  <c r="C107" i="43"/>
  <c r="K103" i="43"/>
  <c r="K109" i="43"/>
  <c r="K105" i="43"/>
  <c r="K102" i="43"/>
  <c r="K106" i="43"/>
  <c r="K107" i="43"/>
  <c r="K104" i="43"/>
  <c r="J11" i="39"/>
  <c r="H11" i="39"/>
  <c r="F11" i="39"/>
  <c r="H11" i="79"/>
  <c r="F11" i="79"/>
  <c r="J11" i="79"/>
  <c r="H11" i="21"/>
  <c r="F11" i="21"/>
  <c r="J11" i="21"/>
  <c r="C19" i="77"/>
  <c r="C20" i="77" s="1"/>
  <c r="C19" i="75"/>
  <c r="C20" i="75" s="1"/>
  <c r="C26" i="75" s="1"/>
  <c r="C19" i="76"/>
  <c r="C20" i="76" s="1"/>
  <c r="R19" i="6"/>
  <c r="H27" i="6"/>
  <c r="C41" i="68"/>
  <c r="C46" i="68"/>
  <c r="C45" i="68" s="1"/>
  <c r="K63" i="40"/>
  <c r="J65" i="40"/>
  <c r="K70" i="39"/>
  <c r="C56" i="11"/>
  <c r="C57" i="11" s="1"/>
  <c r="C26" i="82" l="1"/>
  <c r="C23" i="82"/>
  <c r="C57" i="81"/>
  <c r="J59" i="81"/>
  <c r="J60" i="81" s="1"/>
  <c r="Q48" i="81" s="1"/>
  <c r="C36" i="81"/>
  <c r="J19" i="81"/>
  <c r="J17" i="81" s="1"/>
  <c r="Q49" i="81"/>
  <c r="J14" i="81"/>
  <c r="C13" i="81"/>
  <c r="C33" i="81"/>
  <c r="C31" i="81" s="1"/>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C49" i="68"/>
  <c r="C51" i="68" s="1"/>
  <c r="L63" i="40"/>
  <c r="K65" i="40"/>
  <c r="L70" i="39"/>
  <c r="E8" i="70"/>
  <c r="E2" i="70" s="1"/>
  <c r="C34" i="69"/>
  <c r="M21" i="67"/>
  <c r="F35" i="15"/>
  <c r="M21" i="15"/>
  <c r="F35" i="75"/>
  <c r="F35" i="67"/>
  <c r="M21" i="75"/>
  <c r="C17" i="67"/>
  <c r="C29" i="82" l="1"/>
  <c r="C57" i="82" s="1"/>
  <c r="J13" i="81"/>
  <c r="J23" i="81" s="1"/>
  <c r="J22" i="81"/>
  <c r="C75" i="81"/>
  <c r="Q70" i="81"/>
  <c r="C37" i="81"/>
  <c r="C30" i="81" s="1"/>
  <c r="C39" i="81" s="1"/>
  <c r="C56" i="81"/>
  <c r="C65" i="81" s="1"/>
  <c r="C64" i="81"/>
  <c r="C61" i="81"/>
  <c r="C59" i="81" s="1"/>
  <c r="I52" i="2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L51" i="81"/>
  <c r="C33" i="82" l="1"/>
  <c r="C31" i="82" s="1"/>
  <c r="C36" i="82"/>
  <c r="C13" i="82"/>
  <c r="Q70" i="82" s="1"/>
  <c r="J59" i="82"/>
  <c r="J60" i="82" s="1"/>
  <c r="L46" i="82" s="1"/>
  <c r="J14" i="82"/>
  <c r="J13" i="82" s="1"/>
  <c r="J23" i="82" s="1"/>
  <c r="Q49" i="82"/>
  <c r="J19" i="82"/>
  <c r="J17" i="82" s="1"/>
  <c r="Q48" i="82"/>
  <c r="C61" i="82"/>
  <c r="C59" i="82" s="1"/>
  <c r="C64" i="82"/>
  <c r="C58" i="81"/>
  <c r="C67" i="81" s="1"/>
  <c r="C68" i="81" s="1"/>
  <c r="C71" i="81" s="1"/>
  <c r="J16" i="81"/>
  <c r="J25" i="81" s="1"/>
  <c r="Q67" i="81"/>
  <c r="C40" i="81"/>
  <c r="Q69" i="81"/>
  <c r="Q68" i="81" s="1"/>
  <c r="C80" i="81"/>
  <c r="C79" i="81" s="1"/>
  <c r="J17" i="75"/>
  <c r="E52" i="79"/>
  <c r="F52" i="79" s="1"/>
  <c r="E53" i="79"/>
  <c r="F53" i="79" s="1"/>
  <c r="E52" i="21"/>
  <c r="F52" i="21" s="1"/>
  <c r="E53" i="21"/>
  <c r="F53" i="21" s="1"/>
  <c r="I53" i="21"/>
  <c r="J53" i="21" s="1"/>
  <c r="C48" i="79"/>
  <c r="C49" i="79"/>
  <c r="B3" i="79" s="1"/>
  <c r="C48" i="21"/>
  <c r="C49" i="21"/>
  <c r="B3" i="21" s="1"/>
  <c r="C6" i="12"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J22" i="82" l="1"/>
  <c r="J16" i="82" s="1"/>
  <c r="J25" i="82" s="1"/>
  <c r="C37" i="82"/>
  <c r="C75" i="82"/>
  <c r="C30" i="82"/>
  <c r="C39" i="82" s="1"/>
  <c r="Q69" i="82" s="1"/>
  <c r="Q68" i="82" s="1"/>
  <c r="C56" i="82"/>
  <c r="C65" i="82" s="1"/>
  <c r="C58" i="82" s="1"/>
  <c r="C67" i="82" s="1"/>
  <c r="C68" i="82" s="1"/>
  <c r="C71" i="82" s="1"/>
  <c r="C40" i="82"/>
  <c r="C46" i="81"/>
  <c r="C43" i="81"/>
  <c r="Q47" i="81"/>
  <c r="Q53" i="81" s="1"/>
  <c r="C83" i="81"/>
  <c r="C82" i="81" s="1"/>
  <c r="Q65" i="81"/>
  <c r="Q75" i="81" s="1"/>
  <c r="Q56" i="81"/>
  <c r="Q62" i="81" s="1"/>
  <c r="B2" i="81"/>
  <c r="B3" i="81" s="1"/>
  <c r="F6" i="12"/>
  <c r="B2" i="79"/>
  <c r="F8" i="12"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L51" i="82"/>
  <c r="L51" i="76"/>
  <c r="C14" i="67"/>
  <c r="L51" i="75"/>
  <c r="L51" i="77"/>
  <c r="C80" i="82" l="1"/>
  <c r="C79" i="82" s="1"/>
  <c r="Q67" i="82"/>
  <c r="C46" i="82"/>
  <c r="Q65" i="82"/>
  <c r="Q75" i="82" s="1"/>
  <c r="Q56" i="82"/>
  <c r="Q62" i="82" s="1"/>
  <c r="B2" i="82"/>
  <c r="C43" i="82"/>
  <c r="Q47" i="82"/>
  <c r="Q53" i="82" s="1"/>
  <c r="C83" i="82"/>
  <c r="C82" i="82" s="1"/>
  <c r="C80" i="75"/>
  <c r="C79" i="75" s="1"/>
  <c r="C58" i="76"/>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B3" i="82" l="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C14" i="15"/>
  <c r="AE7" i="1"/>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7"/>
  <c r="L51" i="15"/>
  <c r="M27" i="15"/>
  <c r="F41" i="67"/>
  <c r="M27" i="67"/>
  <c r="F41" i="76"/>
  <c r="F41" i="15"/>
  <c r="F41" i="75"/>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C46" i="77"/>
  <c r="Q65" i="77"/>
  <c r="Q75" i="77" s="1"/>
  <c r="Q56" i="77"/>
  <c r="Q62" i="77" s="1"/>
  <c r="C83" i="77"/>
  <c r="C82" i="77" s="1"/>
  <c r="Q47" i="77"/>
  <c r="Q53" i="77" s="1"/>
  <c r="C43" i="77"/>
  <c r="B9" i="70"/>
  <c r="B3" i="77"/>
  <c r="E6" i="12" s="1"/>
  <c r="Q65" i="76"/>
  <c r="Q75" i="76" s="1"/>
  <c r="B2" i="76"/>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AO11" i="1"/>
  <c r="D2" i="34"/>
  <c r="D2" i="35"/>
  <c r="D2" i="79"/>
  <c r="AO10" i="1"/>
  <c r="AO8" i="1"/>
  <c r="D2" i="21"/>
  <c r="D2" i="33"/>
  <c r="AO7" i="1"/>
  <c r="E2" i="69"/>
  <c r="D2" i="36"/>
  <c r="D2" i="37"/>
  <c r="B11" i="70" l="1"/>
  <c r="B3" i="76"/>
  <c r="B10" i="70"/>
  <c r="B3" i="75"/>
  <c r="B3" i="15"/>
  <c r="C46" i="15"/>
  <c r="B2" i="36"/>
  <c r="B2" i="35"/>
  <c r="B3" i="35" s="1"/>
  <c r="B2" i="37"/>
  <c r="B2" i="34"/>
  <c r="B2" i="21"/>
  <c r="B2" i="69"/>
  <c r="B3" i="69" s="1"/>
  <c r="B8" i="70"/>
  <c r="B3" i="67"/>
  <c r="B7" i="70"/>
  <c r="E2" i="68"/>
  <c r="AO6" i="1"/>
  <c r="B6" i="70" l="1"/>
  <c r="B2" i="70" s="1"/>
  <c r="B3" i="70" s="1"/>
  <c r="C8" i="12"/>
  <c r="C4" i="12"/>
  <c r="C31" i="12" s="1"/>
  <c r="C23" i="12" l="1"/>
  <c r="C30" i="12" s="1"/>
  <c r="C28" i="12" s="1"/>
  <c r="C27" i="12" l="1"/>
  <c r="C25" i="12" s="1"/>
  <c r="C32" i="12" s="1"/>
  <c r="B2" i="12" s="1"/>
  <c r="B3" i="12" s="1"/>
  <c r="J7" i="33"/>
  <c r="W7" i="33" s="1"/>
  <c r="F7" i="33"/>
  <c r="S7" i="33" s="1"/>
  <c r="H7" i="33"/>
  <c r="AB7" i="33" s="1"/>
  <c r="T48" i="33" s="1"/>
  <c r="G48" i="33" s="1"/>
  <c r="D20" i="9"/>
  <c r="D19" i="9"/>
  <c r="D102" i="9" l="1"/>
  <c r="D21" i="9"/>
  <c r="D103" i="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s="1"/>
  <c r="B2" i="39" s="1"/>
  <c r="H106" i="9" l="1"/>
  <c r="D12" i="53" s="1"/>
  <c r="B28" i="72" s="1"/>
  <c r="B3" i="39"/>
  <c r="C6" i="68"/>
  <c r="H103" i="9" l="1"/>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19" i="9"/>
  <c r="C20" i="9"/>
  <c r="C21" i="9" l="1"/>
  <c r="D22" i="9"/>
  <c r="C102" i="9"/>
  <c r="G19" i="9"/>
  <c r="C103" i="9"/>
  <c r="G20" i="9"/>
  <c r="C32" i="9" l="1"/>
  <c r="H118" i="9" s="1"/>
  <c r="D14" i="80" s="1"/>
  <c r="G21" i="9"/>
  <c r="E14" i="80" l="1"/>
  <c r="B5" i="80"/>
  <c r="F14" i="80"/>
  <c r="I118" i="9"/>
  <c r="C104" i="9"/>
  <c r="H101" i="9"/>
  <c r="H119" i="9"/>
  <c r="H5" i="52" s="1"/>
  <c r="H4" i="52"/>
  <c r="D35" i="9"/>
  <c r="D34" i="9"/>
  <c r="C35" i="9" l="1"/>
  <c r="C34" i="9" s="1"/>
  <c r="D118" i="9" s="1"/>
  <c r="J101" i="9"/>
  <c r="L102" i="9" s="1"/>
  <c r="C5" i="80"/>
  <c r="D5" i="80"/>
  <c r="H109" i="9"/>
  <c r="D5" i="53"/>
  <c r="H107" i="9"/>
  <c r="L108" i="9" s="1"/>
  <c r="D45" i="9"/>
  <c r="M48" i="9"/>
  <c r="C105" i="9"/>
  <c r="H102" i="9"/>
  <c r="D7" i="53" s="1"/>
  <c r="B21" i="72" s="1"/>
  <c r="I4" i="52"/>
  <c r="F118" i="9" l="1"/>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H14" i="80" s="1"/>
  <c r="B7" i="80" s="1"/>
  <c r="G118" i="9" l="1"/>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G4" i="52" l="1"/>
  <c r="B52" i="72" s="1"/>
  <c r="E118" i="9"/>
  <c r="E4" i="52" s="1"/>
  <c r="B48" i="72" s="1"/>
  <c r="C81" i="9"/>
  <c r="C97" i="9"/>
  <c r="D58" i="9" s="1"/>
  <c r="D56" i="9" s="1"/>
  <c r="M54" i="9" s="1"/>
  <c r="N56" i="9" s="1"/>
  <c r="N57" i="9" l="1"/>
  <c r="N58" i="9"/>
  <c r="H111" i="9" l="1"/>
  <c r="L112" i="9" s="1"/>
  <c r="N59" i="9"/>
  <c r="N60" i="9"/>
  <c r="H112" i="9" s="1"/>
  <c r="D21" i="53" s="1"/>
  <c r="B39" i="72" s="1"/>
  <c r="D19" i="53" l="1"/>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<sst xmlns="http://schemas.openxmlformats.org/spreadsheetml/2006/main" count="10810" uniqueCount="3597">
  <si>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</si>
  <si>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</si>
  <si>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</si>
  <si>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</si>
  <si>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</si>
  <si>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</si>
  <si>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</si>
  <si>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</si>
  <si>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</si>
  <si>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</si>
  <si>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</si>
  <si>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</si>
  <si>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</si>
  <si>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</si>
  <si>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</si>
  <si>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</si>
  <si>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</si>
  <si>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</si>
  <si>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</si>
  <si>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</si>
  <si>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</si>
  <si>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</si>
  <si>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</si>
  <si>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</si>
  <si>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</si>
  <si>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</si>
  <si>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</si>
  <si>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</si>
  <si>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</si>
  <si>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</si>
  <si>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</si>
  <si>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</si>
  <si>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</si>
  <si>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</si>
  <si>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</si>
  <si>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</si>
  <si>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</si>
  <si>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</si>
  <si>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</si>
  <si>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</si>
  <si>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</si>
  <si>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</si>
  <si>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</si>
  <si>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</si>
  <si>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</si>
  <si>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</si>
  <si>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</si>
  <si>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</si>
  <si>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</si>
  <si>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</si>
  <si>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</si>
  <si>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</si>
  <si>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</si>
  <si>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</si>
  <si>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</si>
  <si>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</si>
  <si>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</si>
  <si>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</si>
  <si>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</si>
  <si>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</si>
  <si>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</si>
  <si>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</si>
  <si>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</si>
  <si>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</si>
  <si>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</si>
  <si>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</si>
  <si>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</si>
  <si>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</si>
  <si>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</si>
  <si>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</si>
  <si>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</si>
  <si>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</si>
  <si>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</si>
  <si>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</si>
  <si>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</si>
  <si>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</si>
  <si>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</si>
  <si>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</si>
  <si>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</si>
  <si>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</si>
  <si>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</si>
  <si>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</si>
  <si>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</si>
  <si>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</si>
  <si>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</si>
  <si>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</si>
  <si>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</si>
  <si>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</si>
  <si>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</si>
  <si>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</si>
  <si>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</si>
  <si>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</si>
  <si>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</si>
  <si>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</si>
  <si>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</si>
  <si>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</si>
  <si>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</si>
  <si>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</si>
  <si>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</si>
  <si>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</si>
  <si>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</si>
  <si>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</si>
  <si>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</si>
  <si>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</si>
  <si>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</si>
  <si>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</si>
  <si>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</si>
  <si>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</si>
  <si>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</si>
  <si>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</si>
  <si>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</si>
  <si>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</si>
  <si>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</si>
  <si>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</si>
  <si>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</si>
  <si>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</si>
  <si>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</si>
  <si>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</si>
  <si>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</si>
  <si>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</si>
  <si>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</si>
  <si>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</si>
  <si>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</si>
  <si>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</si>
  <si>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</si>
  <si>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</si>
  <si>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</si>
  <si>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</si>
  <si>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</si>
  <si>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</si>
  <si>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</si>
  <si>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</si>
  <si>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</si>
  <si>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</si>
  <si>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</si>
  <si>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</si>
  <si>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</si>
  <si>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</si>
  <si>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</si>
  <si>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</si>
  <si>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</si>
  <si>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</si>
  <si>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</si>
  <si>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</si>
  <si>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</si>
  <si>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</si>
  <si>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</si>
  <si>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</si>
  <si>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</si>
  <si>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</si>
  <si>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</si>
  <si>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</si>
  <si>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</si>
  <si>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</si>
  <si>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</si>
  <si>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</si>
  <si>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</si>
  <si>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</si>
  <si>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</si>
  <si>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</si>
  <si>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</si>
  <si>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</si>
  <si>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</si>
  <si>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</si>
  <si>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</si>
  <si>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</si>
  <si>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</si>
  <si>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</si>
  <si>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</si>
  <si>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</si>
  <si>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</si>
  <si>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</si>
  <si>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</si>
  <si>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</si>
  <si>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</si>
  <si>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</si>
  <si>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</si>
  <si>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</si>
  <si>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</si>
  <si>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</si>
  <si>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</si>
  <si>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</si>
  <si>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</si>
  <si>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</si>
  <si>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</si>
  <si>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</si>
  <si>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</si>
  <si>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</si>
  <si>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</si>
  <si>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</si>
  <si>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</si>
  <si>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</si>
  <si>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</si>
  <si>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</si>
  <si>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</si>
  <si>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</si>
  <si>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</si>
  <si>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</si>
  <si>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</si>
  <si>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</si>
  <si>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</si>
  <si>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</si>
  <si>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</si>
  <si>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</si>
  <si>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</si>
  <si>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</si>
  <si>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</si>
  <si>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</si>
  <si>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</si>
  <si>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</si>
  <si>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</si>
  <si>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</si>
  <si>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</si>
  <si>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</si>
  <si>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</si>
  <si>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</si>
  <si>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</si>
  <si>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</si>
  <si>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</si>
  <si>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</si>
  <si>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</si>
  <si>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</si>
  <si>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</si>
  <si>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</si>
  <si>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</si>
  <si>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</si>
  <si>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</si>
  <si>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</si>
  <si>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</si>
  <si>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</si>
  <si>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</si>
  <si>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</si>
  <si>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</si>
  <si>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</si>
  <si>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</si>
  <si>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</si>
  <si>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</si>
  <si>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</si>
  <si>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</si>
  <si>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</si>
  <si>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</si>
  <si>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</si>
  <si>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</si>
  <si>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</si>
  <si>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</si>
  <si>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</si>
  <si>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</si>
  <si>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</si>
  <si>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</si>
  <si>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</si>
  <si>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</si>
  <si>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</si>
  <si>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</si>
  <si>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</si>
  <si>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</si>
  <si>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</si>
  <si>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</si>
  <si>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</si>
  <si>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</si>
  <si>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</si>
  <si>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</si>
  <si>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</si>
  <si>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</si>
  <si>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</si>
  <si>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</si>
  <si>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</si>
  <si>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</si>
  <si>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</si>
  <si>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</si>
  <si>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</si>
  <si>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</si>
  <si>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</si>
  <si>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</si>
  <si>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</si>
  <si>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</si>
  <si>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</si>
  <si>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</si>
  <si>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</si>
  <si>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</si>
  <si>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</si>
  <si>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</si>
  <si>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</si>
  <si>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</si>
  <si>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</si>
  <si>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</si>
  <si>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</si>
  <si>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</si>
  <si>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</si>
  <si>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</si>
  <si>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</si>
  <si>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</si>
  <si>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</si>
  <si>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</si>
  <si>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</si>
  <si>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</si>
  <si>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</si>
  <si>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</si>
  <si>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</si>
  <si>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</si>
  <si>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</si>
  <si>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</si>
  <si>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</si>
  <si>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</si>
  <si>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</si>
  <si>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</si>
  <si>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</si>
  <si>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</si>
  <si>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</si>
  <si>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</si>
  <si>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</si>
  <si>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</si>
  <si>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</si>
  <si>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</si>
  <si>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</si>
  <si>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</si>
  <si>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</si>
  <si>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</si>
  <si>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</si>
  <si>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</si>
  <si>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</si>
  <si>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</si>
  <si>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</si>
  <si>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</si>
  <si>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</si>
  <si>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</si>
  <si>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</si>
  <si>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</si>
  <si>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</si>
  <si>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</si>
  <si>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</si>
  <si>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</si>
  <si>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</si>
  <si>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</si>
  <si>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</si>
  <si>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</si>
  <si>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</si>
  <si>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</si>
  <si>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</si>
  <si>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</si>
  <si>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</si>
  <si>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</si>
  <si>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</si>
  <si>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</si>
  <si>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</si>
  <si>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</si>
  <si>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</si>
  <si>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</si>
  <si>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</si>
  <si>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</si>
  <si>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</si>
  <si>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</si>
  <si>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</si>
  <si>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</si>
  <si>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</si>
  <si>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</si>
  <si>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</si>
  <si>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</si>
  <si>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</si>
  <si>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</si>
  <si>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</si>
  <si>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</si>
  <si>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</si>
  <si>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</si>
  <si>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</si>
  <si>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</si>
  <si>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</si>
  <si>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</si>
  <si>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</si>
  <si>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</si>
  <si>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</si>
  <si>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</si>
  <si>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</si>
  <si>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</si>
  <si>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</si>
  <si>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</si>
  <si>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</si>
  <si>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</si>
  <si>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</si>
  <si>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</si>
  <si>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</si>
  <si>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</si>
  <si>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</si>
  <si>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</si>
  <si>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</si>
  <si>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</si>
  <si>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</si>
  <si>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</si>
  <si>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</si>
  <si>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</si>
  <si>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</si>
  <si>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</si>
  <si>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</si>
  <si>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</si>
  <si>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</si>
  <si>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</si>
  <si>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</si>
  <si>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</si>
  <si>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</si>
  <si>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</si>
  <si>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</si>
  <si>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</si>
  <si>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</si>
  <si>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</si>
  <si>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</si>
  <si>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</si>
  <si>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</si>
  <si>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</si>
  <si>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</si>
  <si>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</si>
  <si>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</si>
  <si>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</si>
  <si>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</si>
  <si>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</si>
  <si>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</si>
  <si>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</si>
  <si>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</si>
  <si>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</si>
  <si>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</si>
  <si>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</si>
  <si>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</si>
  <si>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</si>
  <si>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</si>
  <si>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</si>
  <si>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</si>
  <si>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</si>
  <si>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</si>
  <si>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</si>
  <si>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</si>
  <si>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</si>
  <si>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</si>
  <si>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</si>
  <si>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</si>
  <si>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</si>
  <si>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</si>
  <si>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</si>
  <si>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</si>
  <si>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</si>
  <si>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</si>
  <si>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</si>
  <si>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</si>
  <si>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</si>
  <si>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</si>
  <si>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</si>
  <si>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</si>
  <si>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</si>
  <si>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</si>
  <si>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</si>
  <si>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</si>
  <si>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</si>
  <si>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</si>
  <si>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</si>
  <si>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</si>
  <si>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</si>
  <si>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</si>
  <si>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</si>
  <si>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</si>
  <si>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</si>
  <si>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</si>
  <si>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</si>
  <si>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</si>
  <si>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</si>
  <si>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</si>
  <si>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</si>
  <si>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</si>
  <si>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</si>
  <si>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</si>
  <si>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</si>
  <si>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</si>
  <si>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</si>
  <si>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</si>
  <si>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</si>
  <si>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</si>
  <si>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</si>
  <si>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</si>
  <si>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</si>
  <si>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</si>
  <si>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</si>
  <si>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</si>
  <si>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</si>
  <si>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</si>
  <si>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</si>
  <si>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</si>
  <si>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</si>
  <si>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</si>
  <si>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</si>
  <si>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</si>
  <si>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</si>
  <si>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</si>
  <si>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</si>
  <si>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</si>
  <si>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</si>
  <si>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</si>
  <si>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</si>
  <si>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</si>
  <si>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</si>
  <si>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</si>
  <si>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</si>
  <si>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</si>
  <si>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</si>
  <si>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</si>
  <si>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</si>
  <si>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</si>
  <si>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</si>
  <si>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</si>
  <si>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</si>
  <si>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</si>
  <si>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</si>
  <si>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</si>
  <si>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</si>
  <si>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</si>
  <si>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</si>
  <si>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</si>
  <si>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</si>
  <si>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</si>
  <si>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</si>
  <si>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</si>
  <si>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</si>
  <si>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</si>
  <si>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</si>
  <si>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</si>
  <si>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</si>
  <si>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</si>
  <si>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</si>
  <si>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</si>
  <si>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</si>
  <si>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</si>
  <si>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</si>
  <si>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</si>
  <si>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</si>
  <si>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</si>
  <si>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</si>
  <si>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</si>
  <si>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</si>
  <si>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</si>
  <si>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</si>
  <si>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</si>
  <si>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</si>
  <si>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</si>
  <si>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</si>
  <si>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</si>
  <si>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</si>
  <si>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</si>
  <si>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</si>
  <si>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</si>
  <si>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</si>
  <si>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</si>
  <si>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</si>
  <si>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</si>
  <si>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</si>
  <si>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</si>
  <si>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</si>
  <si>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</si>
  <si>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</si>
  <si>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</si>
  <si>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</si>
  <si>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</si>
  <si>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</si>
  <si>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</si>
  <si>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</si>
  <si>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</si>
  <si>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</si>
  <si>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</si>
  <si>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</si>
  <si>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</si>
  <si>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</si>
  <si>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</si>
  <si>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</si>
  <si>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</si>
  <si>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</si>
  <si>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</si>
  <si>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</si>
  <si>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</si>
  <si>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</si>
  <si>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</si>
  <si>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</si>
  <si>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</si>
  <si>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</si>
  <si>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</si>
  <si>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</si>
  <si>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</si>
  <si>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</si>
  <si>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</si>
  <si>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</si>
  <si>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</si>
  <si>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</si>
  <si>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</si>
  <si>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</si>
  <si>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</si>
  <si>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</si>
  <si>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</si>
  <si>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</si>
  <si>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</si>
  <si>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</si>
  <si>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</si>
  <si>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</si>
  <si>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</si>
  <si>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</si>
  <si>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</si>
  <si>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</si>
  <si>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</si>
  <si>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</si>
  <si>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</si>
  <si>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</si>
  <si>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</si>
  <si>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</si>
  <si>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</si>
  <si>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</si>
  <si>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</si>
  <si>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</si>
  <si>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</si>
  <si>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</si>
  <si>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</si>
  <si>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</si>
  <si>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</si>
  <si>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</si>
  <si>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</si>
  <si>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</si>
  <si>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</si>
  <si>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</si>
  <si>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</si>
  <si>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</si>
  <si>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</si>
  <si>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</si>
  <si>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</si>
  <si>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</si>
  <si>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</si>
  <si>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</si>
  <si>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</si>
  <si>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</si>
  <si>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</si>
  <si>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</si>
  <si>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</si>
  <si>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</si>
  <si>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</si>
  <si>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</si>
  <si>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</si>
  <si>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</si>
  <si>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</si>
  <si>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</si>
  <si>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</si>
  <si>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</si>
  <si>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</si>
  <si>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</si>
  <si>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</si>
  <si>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</si>
  <si>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</si>
  <si>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</si>
  <si>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</si>
  <si>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</si>
  <si>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</si>
  <si>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</si>
  <si>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</si>
  <si>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</si>
  <si>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</si>
  <si>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</si>
  <si>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</si>
  <si>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</si>
  <si>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</si>
  <si>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</si>
  <si>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</si>
  <si>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</si>
  <si>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</si>
  <si>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</si>
  <si>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</si>
  <si>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</si>
  <si>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</si>
  <si>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</si>
  <si>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</si>
  <si>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</si>
  <si>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</si>
  <si>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</si>
  <si>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</si>
  <si>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</si>
  <si>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</si>
  <si>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</si>
  <si>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</si>
  <si>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</si>
  <si>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</si>
  <si>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</si>
  <si>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</si>
  <si>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</si>
  <si>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</si>
  <si>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</si>
  <si>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</si>
  <si>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</si>
  <si>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</si>
  <si>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</si>
  <si>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</si>
  <si>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</si>
  <si>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</si>
  <si>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</si>
  <si>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</si>
  <si>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</si>
  <si>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</si>
  <si>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</si>
  <si>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</si>
  <si>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</si>
  <si>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</si>
  <si>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</si>
  <si>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</si>
  <si>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</si>
  <si>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</si>
  <si>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</si>
  <si>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</si>
  <si>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</si>
  <si>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</si>
  <si>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</si>
  <si>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</si>
  <si>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</si>
  <si>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</si>
  <si>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</si>
  <si>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</si>
  <si>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</si>
  <si>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</si>
  <si>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</si>
  <si>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</si>
  <si>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</si>
  <si>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</si>
  <si>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</si>
  <si>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</si>
  <si>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</si>
  <si>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</si>
  <si>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</si>
  <si>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</si>
  <si>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</si>
  <si>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</si>
  <si>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</si>
  <si>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</si>
  <si>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</si>
  <si>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</si>
  <si>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</si>
  <si>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</si>
  <si>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</si>
  <si>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</si>
  <si>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</si>
  <si>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</si>
  <si>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</si>
  <si>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</si>
  <si>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</si>
  <si>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</si>
  <si>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</si>
  <si>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</si>
  <si>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</si>
  <si>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</si>
  <si>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</si>
  <si>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</si>
  <si>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</si>
  <si>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</si>
  <si>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</si>
  <si>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</si>
  <si>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</si>
  <si>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</si>
  <si>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</si>
  <si>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</si>
  <si>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</si>
  <si>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</si>
  <si>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</si>
  <si>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</si>
  <si>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</si>
  <si>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</si>
  <si>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</si>
  <si>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</si>
  <si>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</si>
  <si>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</si>
  <si>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</si>
  <si>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</si>
  <si>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</si>
  <si>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</si>
  <si>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</si>
  <si>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</si>
  <si>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</si>
  <si>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</si>
  <si>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</si>
  <si>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</si>
  <si>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</si>
  <si>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</si>
  <si>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</si>
  <si>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</si>
  <si>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</si>
  <si>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</si>
  <si>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</si>
  <si>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</si>
  <si>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</si>
  <si>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</si>
  <si>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</si>
  <si>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</si>
  <si>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</si>
  <si>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</si>
  <si>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</si>
  <si>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</si>
  <si>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</si>
  <si>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</si>
  <si>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</si>
  <si>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</si>
  <si>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</si>
  <si>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</si>
  <si>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</si>
  <si>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</si>
  <si>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</si>
  <si>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</si>
  <si>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</si>
  <si>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</si>
  <si>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</si>
  <si>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</si>
  <si>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</si>
  <si>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</si>
  <si>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</si>
  <si>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</si>
  <si>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</si>
  <si>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</si>
  <si>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</si>
  <si>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</si>
  <si>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</si>
  <si>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</si>
  <si>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</si>
  <si>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</si>
  <si>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</si>
  <si>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</si>
  <si>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</si>
  <si>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</si>
  <si>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</si>
  <si>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</si>
  <si>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</si>
  <si>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</si>
  <si>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</si>
  <si>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</si>
  <si>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</si>
  <si>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</si>
  <si>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</si>
  <si>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</si>
  <si>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</si>
  <si>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</si>
  <si>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</si>
  <si>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</si>
  <si>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</si>
  <si>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</si>
  <si>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</si>
  <si>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</si>
  <si>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</si>
  <si>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</si>
  <si>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</si>
  <si>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</si>
  <si>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</si>
  <si>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</si>
  <si>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</si>
  <si>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</si>
  <si>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</si>
  <si>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</si>
  <si>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</si>
  <si>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</si>
  <si>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</si>
  <si>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</si>
  <si>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</si>
  <si>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</si>
  <si>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</si>
  <si>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</si>
  <si>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</si>
  <si>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</si>
  <si>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</si>
  <si>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</si>
  <si>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</si>
  <si>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</si>
  <si>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</si>
  <si>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</si>
  <si>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</si>
  <si>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</si>
  <si>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</si>
  <si>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</si>
  <si>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</si>
  <si>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</si>
  <si>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</si>
  <si>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</si>
  <si>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</si>
  <si>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</si>
  <si>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</si>
  <si>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</si>
  <si>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</si>
  <si>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</si>
  <si>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</si>
  <si>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</si>
  <si>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</si>
  <si>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</si>
  <si>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</si>
  <si>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</si>
  <si>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</si>
  <si>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</si>
  <si>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</si>
  <si>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</si>
  <si>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</si>
  <si>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</si>
  <si>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</si>
  <si>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</si>
  <si>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</si>
  <si>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</si>
  <si>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</si>
  <si>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</si>
  <si>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</si>
  <si>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</si>
  <si>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</si>
  <si>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</si>
  <si>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</si>
  <si>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</si>
  <si>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</si>
  <si>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</si>
  <si>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</si>
  <si>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</si>
  <si>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</si>
  <si>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</si>
  <si>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</si>
  <si>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</si>
  <si>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</si>
  <si>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</si>
  <si>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</si>
  <si>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</si>
  <si>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</si>
  <si>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</si>
  <si>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</si>
  <si>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</si>
  <si>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</si>
  <si>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</si>
  <si>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</si>
  <si>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</si>
  <si>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</si>
  <si>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</si>
  <si>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</si>
  <si>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</si>
  <si>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</si>
  <si>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</si>
  <si>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</si>
  <si>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</si>
  <si>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</si>
  <si>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</si>
  <si>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</si>
  <si>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</si>
  <si>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</si>
  <si>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</si>
  <si>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</si>
  <si>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</si>
  <si>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</si>
  <si>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</si>
  <si>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</si>
  <si>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</si>
  <si>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</si>
  <si>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</si>
  <si>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</si>
  <si>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</si>
  <si>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</si>
  <si>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</si>
  <si>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</si>
  <si>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</si>
  <si>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</si>
  <si>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</si>
  <si>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</si>
  <si>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</si>
  <si>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</si>
  <si>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</si>
  <si>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</si>
  <si>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</si>
  <si>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</si>
  <si>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</si>
  <si>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</si>
  <si>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</si>
  <si>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</si>
  <si>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</si>
  <si>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</si>
  <si>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</si>
  <si>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</si>
  <si>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</si>
  <si>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</si>
  <si>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</si>
  <si>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</si>
  <si>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</si>
  <si>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</si>
  <si>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</si>
  <si>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</si>
  <si>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</si>
  <si>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</si>
  <si>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</si>
  <si>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</si>
  <si>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</si>
  <si>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</si>
  <si>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</si>
  <si>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</si>
  <si>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</si>
  <si>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</si>
  <si>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</si>
  <si>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</si>
  <si>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</si>
  <si>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</si>
  <si>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</si>
  <si>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</si>
  <si>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</si>
  <si>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</si>
  <si>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</si>
  <si>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</si>
  <si>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</si>
  <si>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</si>
  <si>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</si>
  <si>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</si>
  <si>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</si>
  <si>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</si>
  <si>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</si>
  <si>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</si>
  <si>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</si>
  <si>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</si>
  <si>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</si>
  <si>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</si>
  <si>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</si>
  <si>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</si>
  <si>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</si>
  <si>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</si>
  <si>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</si>
  <si>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</si>
  <si>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</si>
  <si>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</si>
  <si>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</si>
  <si>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</si>
  <si>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</si>
  <si>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</si>
  <si>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</si>
  <si>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</si>
  <si>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</si>
  <si>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</si>
  <si>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</si>
  <si>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</si>
  <si>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</si>
  <si>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</si>
  <si>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</si>
  <si>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</si>
  <si>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</si>
  <si>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</si>
  <si>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</si>
  <si>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</si>
  <si>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</si>
  <si>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</si>
  <si>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</si>
  <si>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</si>
  <si>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</si>
  <si>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</si>
  <si>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</si>
  <si>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</si>
  <si>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</si>
  <si>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</si>
  <si>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</si>
  <si>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</si>
  <si>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</si>
  <si>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</si>
  <si>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</si>
  <si>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</si>
  <si>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</si>
  <si>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</si>
  <si>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</si>
  <si>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</si>
  <si>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</si>
  <si>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</si>
  <si>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</si>
  <si>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</si>
  <si>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</si>
  <si>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</si>
  <si>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</si>
  <si>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</si>
  <si>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</si>
  <si>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</si>
  <si>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</si>
  <si>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</si>
  <si>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</si>
  <si>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</si>
  <si>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</si>
  <si>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</si>
  <si>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</si>
  <si>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</si>
  <si>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</si>
  <si>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</si>
  <si>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</si>
  <si>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</si>
  <si>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</si>
  <si>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</si>
  <si>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</si>
  <si>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</si>
  <si>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</si>
  <si>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</si>
  <si>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</si>
  <si>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</si>
  <si>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</si>
  <si>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</si>
  <si>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</si>
  <si>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</si>
  <si>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</si>
  <si>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</si>
  <si>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</si>
  <si>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</si>
  <si>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</si>
  <si>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</si>
  <si>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</si>
  <si>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</si>
  <si>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</si>
  <si>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</si>
  <si>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</si>
  <si>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</si>
  <si>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</si>
  <si>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</si>
  <si>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</si>
  <si>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</si>
  <si>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</si>
  <si>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</si>
  <si>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</si>
  <si>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</si>
  <si>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</si>
  <si>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</si>
  <si>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</si>
  <si>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</si>
  <si>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</si>
  <si>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</si>
  <si>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</si>
  <si>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</si>
  <si>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</si>
  <si>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</si>
  <si>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</si>
  <si>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</si>
  <si>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</si>
  <si>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</si>
  <si>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</si>
  <si>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</si>
  <si>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</si>
  <si>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</si>
  <si>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</si>
  <si>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</si>
  <si>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</si>
  <si>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</si>
  <si>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</si>
  <si>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</si>
  <si>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</si>
  <si>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</si>
  <si>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</si>
  <si>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</si>
  <si>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</si>
  <si>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</si>
  <si>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</si>
  <si>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</si>
  <si>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</si>
  <si>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</si>
  <si>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</si>
  <si>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</si>
  <si>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</si>
  <si>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</si>
  <si>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</si>
  <si>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</si>
  <si>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</si>
  <si>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</si>
  <si>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</si>
  <si>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</si>
  <si>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</si>
  <si>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</si>
  <si>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</si>
  <si>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</si>
  <si>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</si>
  <si>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</si>
  <si>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</si>
  <si>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</si>
  <si>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</si>
  <si>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</si>
  <si>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</si>
  <si>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</si>
  <si>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</si>
  <si>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</si>
  <si>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</si>
  <si>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</si>
  <si>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</si>
  <si>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</si>
  <si>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</si>
  <si>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</si>
  <si>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</si>
  <si>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</si>
  <si>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</si>
  <si>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</si>
  <si>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</si>
  <si>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</si>
  <si>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</si>
  <si>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</si>
  <si>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</si>
  <si>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</si>
  <si>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</si>
  <si>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</si>
  <si>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</si>
  <si>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</si>
  <si>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</si>
  <si>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</si>
  <si>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</si>
  <si>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</si>
  <si>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</si>
  <si>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</si>
  <si>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</si>
  <si>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</si>
  <si>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</si>
  <si>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</si>
  <si>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</si>
  <si>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</si>
  <si>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</si>
  <si>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</si>
  <si>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</si>
  <si>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</si>
  <si>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</si>
  <si>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</si>
  <si>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</si>
  <si>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</si>
  <si>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</si>
  <si>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</si>
  <si>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</si>
  <si>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</si>
  <si>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</si>
  <si>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</si>
  <si>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</si>
  <si>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</si>
  <si>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</si>
  <si>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</si>
  <si>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</si>
  <si>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</si>
  <si>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</si>
  <si>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</si>
  <si>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</si>
  <si>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</si>
  <si>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</si>
  <si>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</si>
  <si>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</si>
  <si>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</si>
  <si>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</si>
  <si>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</si>
  <si>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</si>
  <si>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</si>
  <si>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</si>
  <si>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</si>
  <si>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</si>
  <si>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</si>
  <si>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</si>
  <si>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</si>
  <si>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</si>
  <si>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</si>
  <si>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</si>
  <si>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</si>
  <si>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</si>
  <si>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</si>
  <si>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</si>
  <si>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</si>
  <si>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</si>
  <si>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</si>
  <si>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</si>
  <si>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</si>
  <si>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</si>
  <si>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</si>
  <si>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</si>
  <si>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</si>
  <si>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</si>
  <si>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</si>
  <si>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</si>
  <si>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</si>
  <si>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</si>
  <si>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</si>
  <si>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</si>
  <si>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</si>
  <si>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</si>
  <si>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</si>
  <si>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</si>
  <si>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</si>
  <si>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</si>
  <si>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</si>
  <si>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</si>
  <si>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</si>
  <si>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</si>
  <si>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</si>
  <si>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</si>
  <si>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</si>
  <si>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</si>
  <si>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</si>
  <si>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</si>
  <si>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</si>
  <si>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</si>
  <si>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</si>
  <si>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</si>
  <si>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</si>
  <si>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</si>
  <si>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</si>
  <si>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</si>
  <si>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</si>
  <si>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</si>
  <si>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</si>
  <si>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</si>
  <si>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</si>
  <si>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</si>
  <si>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</si>
  <si>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</si>
  <si>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</si>
  <si>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</si>
  <si>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</si>
  <si>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</si>
  <si>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</si>
  <si>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</si>
  <si>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</si>
  <si>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</si>
  <si>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</si>
  <si>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</si>
  <si>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</si>
  <si>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</si>
  <si>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</si>
  <si>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</si>
  <si>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</si>
  <si>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</si>
  <si>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</si>
  <si>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</si>
  <si>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</si>
  <si>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</si>
  <si>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</si>
  <si>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</si>
  <si>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</si>
  <si>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</si>
  <si>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</si>
  <si>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</si>
  <si>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</si>
  <si>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</si>
  <si>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</si>
  <si>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</si>
  <si>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</si>
  <si>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</si>
  <si>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</si>
  <si>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</si>
  <si>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</si>
  <si>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</si>
  <si>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</si>
  <si>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</si>
  <si>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</si>
  <si>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</si>
  <si>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</si>
  <si>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</si>
  <si>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</si>
  <si>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</si>
  <si>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</si>
  <si>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</si>
  <si>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</si>
  <si>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</si>
  <si>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</si>
  <si>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</si>
  <si>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</si>
  <si>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</si>
  <si>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</si>
  <si>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</si>
  <si>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</si>
  <si>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</si>
  <si>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</si>
  <si>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</si>
  <si>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</si>
  <si>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</si>
  <si>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</si>
  <si>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</si>
  <si>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</si>
  <si>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</si>
  <si>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</si>
  <si>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</si>
  <si>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</si>
  <si>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</si>
  <si>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</si>
  <si>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</si>
  <si>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</si>
  <si>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</si>
  <si>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</si>
  <si>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</si>
  <si>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</si>
  <si>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</si>
  <si>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</si>
  <si>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</si>
  <si>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</si>
  <si>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</si>
  <si>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</si>
  <si>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</si>
  <si>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</si>
  <si>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</si>
  <si>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</si>
  <si>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</si>
  <si>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</si>
  <si>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</si>
  <si>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</si>
  <si>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</si>
  <si>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</si>
  <si>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</si>
  <si>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</si>
  <si>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</si>
  <si>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</si>
  <si>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</si>
  <si>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</si>
  <si>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</si>
  <si>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</si>
  <si>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</si>
  <si>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</si>
  <si>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</si>
  <si>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</si>
  <si>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</si>
  <si>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</si>
  <si>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</si>
  <si>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</si>
  <si>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</si>
  <si>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</si>
  <si>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</si>
  <si>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</si>
  <si>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</si>
  <si>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</si>
  <si>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</si>
  <si>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</si>
  <si>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</si>
  <si>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</si>
  <si>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</si>
  <si>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</si>
  <si>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</si>
  <si>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</si>
  <si>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</si>
  <si>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</si>
  <si>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</si>
  <si>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</si>
  <si>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</si>
  <si>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</si>
  <si>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</si>
  <si>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</si>
  <si>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</si>
  <si>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</si>
  <si>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</si>
  <si>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</si>
  <si>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</si>
  <si>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</si>
  <si>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</si>
  <si>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</si>
  <si>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</si>
  <si>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</si>
  <si>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</si>
  <si>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</si>
  <si>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</si>
  <si>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</si>
  <si>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</si>
  <si>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</si>
  <si>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</si>
  <si>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</si>
  <si>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</si>
  <si>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</si>
  <si>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</si>
  <si>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</si>
  <si>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</si>
  <si>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</si>
  <si>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</si>
  <si>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</si>
  <si>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</si>
  <si>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</si>
  <si>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</si>
  <si>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</si>
  <si>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</si>
  <si>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</si>
  <si>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</si>
  <si>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</si>
  <si>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</si>
  <si>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</si>
  <si>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</si>
  <si>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</si>
  <si>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</si>
  <si>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</si>
  <si>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</si>
  <si>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</si>
  <si>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</si>
  <si>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</si>
  <si>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</si>
  <si>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</si>
  <si>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</si>
  <si>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</si>
  <si>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</si>
  <si>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</si>
  <si>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</si>
  <si>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</si>
  <si>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</si>
  <si>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</si>
  <si>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</si>
  <si>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</si>
  <si>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</si>
  <si>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</si>
  <si>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</si>
  <si>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</si>
  <si>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</si>
  <si>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</si>
  <si>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</si>
  <si>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</si>
  <si>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</si>
  <si>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</si>
  <si>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</si>
  <si>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</si>
  <si>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</si>
  <si>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</si>
  <si>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</si>
  <si>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</si>
  <si>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</si>
  <si>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</si>
  <si>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</si>
  <si>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</si>
  <si>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</si>
  <si>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</si>
  <si>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</si>
  <si>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</si>
  <si>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</si>
  <si>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</si>
  <si>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</si>
  <si>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</si>
  <si>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</si>
  <si>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</si>
  <si>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</si>
  <si>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</si>
  <si>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</si>
  <si>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</si>
  <si>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</si>
  <si>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</si>
  <si>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</si>
  <si>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</si>
  <si>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</si>
  <si>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</si>
  <si>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</si>
  <si>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</si>
  <si>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</si>
  <si>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</si>
  <si>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</si>
  <si>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</si>
  <si>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</si>
  <si>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</si>
  <si>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</si>
  <si>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</si>
  <si>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</si>
  <si>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</si>
  <si>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</si>
  <si>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</si>
  <si>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</si>
  <si>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</si>
  <si>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</si>
  <si>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</si>
  <si>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</si>
  <si>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</si>
  <si>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</si>
  <si>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</si>
  <si>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</si>
  <si>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</si>
  <si>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</si>
  <si>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</si>
  <si>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</si>
  <si>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</si>
  <si>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</si>
  <si>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</si>
  <si>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</si>
  <si>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</si>
  <si>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</si>
  <si>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</si>
  <si>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</si>
  <si>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</si>
  <si>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</si>
  <si>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</si>
  <si>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</si>
  <si>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</si>
  <si>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</si>
  <si>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</si>
  <si>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</si>
  <si>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</si>
  <si>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</si>
  <si>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</si>
  <si>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</si>
  <si>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</si>
  <si>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</si>
  <si>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</si>
  <si>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</si>
  <si>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</si>
  <si>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</si>
  <si>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</si>
  <si>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</si>
  <si>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</si>
  <si>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</si>
  <si>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</si>
  <si>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</si>
  <si>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</si>
  <si>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</si>
  <si>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</si>
  <si>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</si>
  <si>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</si>
  <si>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</si>
  <si>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</si>
  <si>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</si>
  <si>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</si>
  <si>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</si>
  <si>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</si>
  <si>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</si>
  <si>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</si>
  <si>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</si>
  <si>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</si>
  <si>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</si>
  <si>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</si>
  <si>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</si>
  <si>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</si>
  <si>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</si>
  <si>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</si>
  <si>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</si>
  <si>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</si>
  <si>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</si>
  <si>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</si>
  <si>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</si>
  <si>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</si>
  <si>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</si>
  <si>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</si>
  <si>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</si>
  <si>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</si>
  <si>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</si>
  <si>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</si>
  <si>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</si>
  <si>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</si>
  <si>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</si>
  <si>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</si>
  <si>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</si>
  <si>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</si>
  <si>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</si>
  <si>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</si>
  <si>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</si>
  <si>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</si>
  <si>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</si>
  <si>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</si>
  <si>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</si>
  <si>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</si>
  <si>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</si>
  <si>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</si>
  <si>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</si>
  <si>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</si>
  <si>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</si>
  <si>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</si>
  <si>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</si>
  <si>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</si>
  <si>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</si>
  <si>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</si>
  <si>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</si>
  <si>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</si>
  <si>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</si>
  <si>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</si>
  <si>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</si>
  <si>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</si>
  <si>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</si>
  <si>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</si>
  <si>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</si>
  <si>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</si>
  <si>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</si>
  <si>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</si>
  <si>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</si>
  <si>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</si>
  <si>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</si>
  <si>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</si>
  <si>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</si>
  <si>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</si>
  <si>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</si>
  <si>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</si>
  <si>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</si>
  <si>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</si>
  <si>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</si>
  <si>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</si>
  <si>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</si>
  <si>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</si>
  <si>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</si>
  <si>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</si>
  <si>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</si>
  <si>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</si>
  <si>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</si>
  <si>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</si>
  <si>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</si>
  <si>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</si>
  <si>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</si>
  <si>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</si>
  <si>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</si>
  <si>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</si>
  <si>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</si>
  <si>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</si>
  <si>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</si>
  <si>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</si>
  <si>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</si>
  <si>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</si>
  <si>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</si>
  <si>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</si>
  <si>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</si>
  <si>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</si>
  <si>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</si>
  <si>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</si>
  <si>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</si>
  <si>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</si>
  <si>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</si>
  <si>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</si>
  <si>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</si>
  <si>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</si>
  <si>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</si>
  <si>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</si>
  <si>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</si>
  <si>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</si>
  <si>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</si>
  <si>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</si>
  <si>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</si>
  <si>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</si>
  <si>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</si>
  <si>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</si>
  <si>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</si>
  <si>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</si>
  <si>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</si>
  <si>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</si>
  <si>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</si>
  <si>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</si>
  <si>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</si>
  <si>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</si>
  <si>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</si>
  <si>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</si>
  <si>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</si>
  <si>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</si>
  <si>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</si>
  <si>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</si>
  <si>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</si>
  <si>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</si>
  <si>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</si>
  <si>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</si>
  <si>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</si>
  <si>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</si>
  <si>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</si>
  <si>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</si>
  <si>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</si>
  <si>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</si>
  <si>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</si>
  <si>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</si>
  <si>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</si>
  <si>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</si>
  <si>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</si>
  <si>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</si>
  <si>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</si>
  <si>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</si>
  <si>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</si>
  <si>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</si>
  <si>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</si>
  <si>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</si>
  <si>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</si>
  <si>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</si>
  <si>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</si>
  <si>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</si>
  <si>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</si>
  <si>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</si>
  <si>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</si>
  <si>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</si>
  <si>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</si>
  <si>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</si>
  <si>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</si>
  <si>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</si>
  <si>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</si>
  <si>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</si>
  <si>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</si>
  <si>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</si>
  <si>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</si>
  <si>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</si>
  <si>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</si>
  <si>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</si>
  <si>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</si>
  <si>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</si>
  <si>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</si>
  <si>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</si>
  <si>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</si>
  <si>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</si>
  <si>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</si>
  <si>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</si>
  <si>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</si>
  <si>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</si>
  <si>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</si>
  <si>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</si>
  <si>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</si>
  <si>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</si>
  <si>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</si>
  <si>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</si>
  <si>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</si>
  <si>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</si>
  <si>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</si>
  <si>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</si>
  <si>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</si>
  <si>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</si>
  <si>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</si>
  <si>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</si>
  <si>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</si>
  <si>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</si>
  <si>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</si>
  <si>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</si>
  <si>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</si>
  <si>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</si>
  <si>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</si>
  <si>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</si>
  <si>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</si>
  <si>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</si>
  <si>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</si>
  <si>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</si>
  <si>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</si>
  <si>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</si>
  <si>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</si>
  <si>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</si>
  <si>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</si>
  <si>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</si>
  <si>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</si>
  <si>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</si>
  <si>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</si>
  <si>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</si>
  <si>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</si>
  <si>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</si>
  <si>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</si>
  <si>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</si>
  <si>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</si>
  <si>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</si>
  <si>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</si>
  <si>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</si>
  <si>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</si>
  <si>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</si>
  <si>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</si>
  <si>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</si>
  <si>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</si>
  <si>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</si>
  <si>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</si>
  <si>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</si>
  <si>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</si>
  <si>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</si>
  <si>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</si>
  <si>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</si>
  <si>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</si>
  <si>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</si>
  <si>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</si>
  <si>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</si>
  <si>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</si>
  <si>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</si>
  <si>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</si>
  <si>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</si>
  <si>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</si>
  <si>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</si>
  <si>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</si>
  <si>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</si>
  <si>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</si>
  <si>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</si>
  <si>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</si>
  <si>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</si>
  <si>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</si>
  <si>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</si>
  <si>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</si>
  <si>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</si>
  <si>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</si>
  <si>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</si>
  <si>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</si>
  <si>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</si>
  <si>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</si>
  <si>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</si>
  <si>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</si>
  <si>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</si>
  <si>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</si>
  <si>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</si>
  <si>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</si>
  <si>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</si>
  <si>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</si>
  <si>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</si>
  <si>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</si>
  <si>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</si>
  <si>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</si>
  <si>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</si>
  <si>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</si>
  <si>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</si>
  <si>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</si>
  <si>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</si>
  <si>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</si>
  <si>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</si>
  <si>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</si>
  <si>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</si>
  <si>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</si>
  <si>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</si>
  <si>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</si>
  <si>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</si>
  <si>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</si>
  <si>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</si>
  <si>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</si>
  <si>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</si>
  <si>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</si>
  <si>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</si>
  <si>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</si>
  <si>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</si>
  <si>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</si>
  <si>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</si>
  <si>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</si>
  <si>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</si>
  <si>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</si>
  <si>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</si>
  <si>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</si>
  <si>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</si>
  <si>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</si>
  <si>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</si>
  <si>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</si>
  <si>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</si>
  <si>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</si>
  <si>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</si>
  <si>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</si>
  <si>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</si>
  <si>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</si>
  <si>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</si>
  <si>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</si>
  <si>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</si>
  <si>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</si>
  <si>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</si>
  <si>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</si>
  <si>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</si>
  <si>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</si>
  <si>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</si>
  <si>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</si>
  <si>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</si>
  <si>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</si>
  <si>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</si>
  <si>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</si>
  <si>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</si>
  <si>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</si>
  <si>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</si>
  <si>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</si>
  <si>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</si>
  <si>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</si>
  <si>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</si>
  <si>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</si>
  <si>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</si>
  <si>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</si>
  <si>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</si>
  <si>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</si>
  <si>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</si>
  <si>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</si>
  <si>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</si>
  <si>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</si>
  <si>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</si>
  <si>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</si>
  <si>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</si>
  <si>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</si>
  <si>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</si>
  <si>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</si>
  <si>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</si>
  <si>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</si>
  <si>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</si>
  <si>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</si>
  <si>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</si>
  <si>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</si>
  <si>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</si>
  <si>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</si>
  <si>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</si>
  <si>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</si>
  <si>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</si>
  <si>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</si>
  <si>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</si>
  <si>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</si>
  <si>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</si>
  <si>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</si>
  <si>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</si>
  <si>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</si>
  <si>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</si>
  <si>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</si>
  <si>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</si>
  <si>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</si>
  <si>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</si>
  <si>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</si>
  <si>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</si>
  <si>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</si>
  <si>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</si>
  <si>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</si>
  <si>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</si>
  <si>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</si>
  <si>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</si>
  <si>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</si>
  <si>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</si>
  <si>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</si>
  <si>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</si>
  <si>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</si>
  <si>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</si>
  <si>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</si>
  <si>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</si>
  <si>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</si>
  <si>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</si>
  <si>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</si>
  <si>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</si>
  <si>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</si>
  <si>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</si>
  <si>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</si>
  <si>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</si>
  <si>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</si>
  <si>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</si>
  <si>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</si>
  <si>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</si>
  <si>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</si>
  <si>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</si>
  <si>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</si>
  <si>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</si>
  <si>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</si>
  <si>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</si>
  <si>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</si>
  <si>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</si>
  <si>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</si>
  <si>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</si>
  <si>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</si>
  <si>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</si>
  <si>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</si>
  <si>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</si>
  <si>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</si>
  <si>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</si>
  <si>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</si>
  <si>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</si>
  <si>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</si>
  <si>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</si>
  <si>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</si>
  <si>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</si>
  <si>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</si>
  <si>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</si>
  <si>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</si>
  <si>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</si>
  <si>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</si>
  <si>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</si>
  <si>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</si>
  <si>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</si>
  <si>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</si>
  <si>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</si>
  <si>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</si>
  <si>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</si>
  <si>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</si>
  <si>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</si>
  <si>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</si>
  <si>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</si>
  <si>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</si>
  <si>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</si>
  <si>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</si>
  <si>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</si>
  <si>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</si>
  <si>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</si>
  <si>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</si>
  <si>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</si>
  <si>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</si>
  <si>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</si>
  <si>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</si>
  <si>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</si>
  <si>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</si>
  <si>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</si>
  <si>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</si>
  <si>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</si>
  <si>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</si>
  <si>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</si>
  <si>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</si>
  <si>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</si>
  <si>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</si>
  <si>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</si>
  <si>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</si>
  <si>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</si>
  <si>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</si>
  <si>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</si>
  <si>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</si>
  <si>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</si>
  <si>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</si>
  <si>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</si>
  <si>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</si>
  <si>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</si>
  <si>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</si>
  <si>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</si>
  <si>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</si>
  <si>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</si>
  <si>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</si>
  <si>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</si>
  <si>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</si>
  <si>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</si>
  <si>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</si>
  <si>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</si>
  <si>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</si>
  <si>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</si>
  <si>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</si>
  <si>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</si>
  <si>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</si>
  <si>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</si>
  <si>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</si>
  <si>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</si>
  <si>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</si>
  <si>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</si>
  <si>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</si>
  <si>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</si>
  <si>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</si>
  <si>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</si>
  <si>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</si>
  <si>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</si>
  <si>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</si>
  <si>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</si>
  <si>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</si>
  <si>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</si>
  <si>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</si>
  <si>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</si>
  <si>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</si>
  <si>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</si>
  <si>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</si>
  <si>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</si>
  <si>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</si>
  <si>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</si>
  <si>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</si>
  <si>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</si>
  <si>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</si>
  <si>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</si>
  <si>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</si>
  <si>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</si>
  <si>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</si>
  <si>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</si>
  <si>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</si>
  <si>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</si>
  <si>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</si>
  <si>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</si>
  <si>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</si>
  <si>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</si>
  <si>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</si>
  <si>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</si>
  <si>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</si>
  <si>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</si>
  <si>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</si>
  <si>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</si>
  <si>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</si>
  <si>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</si>
  <si>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</si>
  <si>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</si>
  <si>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</si>
  <si>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</si>
  <si>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</si>
  <si>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</si>
  <si>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</si>
  <si>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</si>
  <si>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</si>
  <si>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</si>
  <si>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</si>
  <si>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</si>
  <si>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</si>
  <si>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</si>
  <si>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</si>
  <si>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</si>
  <si>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</si>
  <si>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</si>
  <si>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</si>
  <si>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</si>
  <si>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</si>
  <si>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</si>
  <si>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</si>
  <si>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</si>
  <si>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</si>
  <si>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</si>
  <si>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</si>
  <si>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</si>
  <si>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</si>
  <si>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</si>
  <si>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</si>
  <si>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</si>
  <si>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</si>
  <si>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</si>
  <si>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</si>
  <si>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</si>
  <si>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</si>
  <si>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</si>
  <si>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</si>
  <si>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</si>
  <si>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</si>
  <si>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</si>
  <si>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</si>
  <si>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</si>
  <si>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</si>
  <si>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</si>
  <si>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</si>
  <si>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</si>
  <si>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</si>
  <si>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</si>
  <si>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</si>
  <si>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</si>
  <si>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</si>
  <si>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</si>
  <si>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</si>
  <si>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</si>
  <si>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</si>
  <si>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</si>
  <si>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</si>
  <si>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</si>
  <si>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</si>
  <si>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</si>
  <si>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</si>
  <si>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</si>
  <si>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</si>
  <si>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</si>
  <si>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</si>
  <si>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</si>
  <si>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</si>
  <si>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</si>
  <si>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</si>
  <si>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</si>
  <si>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</si>
  <si>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</si>
  <si>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</si>
  <si>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</si>
  <si>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</si>
  <si>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</si>
  <si>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</si>
  <si>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</si>
  <si>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</si>
  <si>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</si>
  <si>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</si>
  <si>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</si>
  <si>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</si>
  <si>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</si>
  <si>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</si>
  <si>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</si>
  <si>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</si>
  <si>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</si>
  <si>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</si>
  <si>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</si>
  <si>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</si>
  <si>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</si>
  <si>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</si>
  <si>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</si>
  <si>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</si>
  <si>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</si>
  <si>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</si>
  <si>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</si>
  <si>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</si>
  <si>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</si>
  <si>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</si>
  <si>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</si>
  <si>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</si>
  <si>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</si>
  <si>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</si>
  <si>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</si>
  <si>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</si>
  <si>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</si>
  <si>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</si>
  <si>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</si>
  <si>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</si>
  <si>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</si>
  <si>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</si>
  <si>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</si>
  <si>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</si>
  <si>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</si>
  <si>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</si>
  <si>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</si>
  <si>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</si>
  <si>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</si>
  <si>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</si>
  <si>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</si>
  <si>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</si>
  <si>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</si>
  <si>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</si>
  <si>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</si>
  <si>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</si>
  <si>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</si>
  <si>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</si>
  <si>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</si>
  <si>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</si>
  <si>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</si>
  <si>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</si>
  <si>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</si>
  <si>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</si>
  <si>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</si>
  <si>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</si>
  <si>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</si>
  <si>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</si>
  <si>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</si>
  <si>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</si>
  <si>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</si>
  <si>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</si>
  <si>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</si>
  <si>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</si>
  <si>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</si>
  <si>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</si>
  <si>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</si>
  <si>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</si>
  <si>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</si>
  <si>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</si>
  <si>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</si>
  <si>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</si>
  <si>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</si>
  <si>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</si>
  <si>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</si>
  <si>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</si>
  <si>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</si>
  <si>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</si>
  <si>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</si>
  <si>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</si>
  <si>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</si>
  <si>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</si>
  <si>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</si>
  <si>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</si>
  <si>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</si>
  <si>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</si>
  <si>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</si>
  <si>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</si>
  <si>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</si>
  <si>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</si>
  <si>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</si>
  <si>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</si>
  <si>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</si>
  <si>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</si>
  <si>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</si>
  <si>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</si>
  <si>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</si>
  <si>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</si>
  <si>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</si>
  <si>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</si>
  <si>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</si>
  <si>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</si>
  <si>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</si>
  <si>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</si>
  <si>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</si>
  <si>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</si>
  <si>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</si>
  <si>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</si>
  <si>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</si>
  <si>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</si>
  <si>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</si>
  <si>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</si>
  <si>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</si>
  <si>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</si>
  <si>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</si>
  <si>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</si>
  <si>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</si>
  <si>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</si>
  <si>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</si>
  <si>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</si>
  <si>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</si>
  <si>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</si>
  <si>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</si>
  <si>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</si>
  <si>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</si>
  <si>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</si>
  <si>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</si>
  <si>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</si>
  <si>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</si>
  <si>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</si>
  <si>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</si>
  <si>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</si>
  <si>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</si>
  <si>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</si>
  <si>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</si>
  <si>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</si>
  <si>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</si>
  <si>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</si>
  <si>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</si>
  <si>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</si>
  <si>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</si>
  <si>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</si>
  <si>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</si>
  <si>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</si>
  <si>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</si>
  <si>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</si>
  <si>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</si>
  <si>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</si>
  <si>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</si>
  <si>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</si>
  <si>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</si>
  <si>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</si>
  <si>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</si>
  <si>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</si>
  <si>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</si>
  <si>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</si>
  <si>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</si>
  <si>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</si>
  <si>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</si>
  <si>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</si>
  <si>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</si>
  <si>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</si>
  <si>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</si>
  <si>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</si>
  <si>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</si>
  <si>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</si>
  <si>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</si>
  <si>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</si>
  <si>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</si>
  <si>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</si>
  <si>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</si>
  <si>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</si>
  <si>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</si>
  <si>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</si>
  <si>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6"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</si>
  <si>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</si>
  <si>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</si>
  <si>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</si>
  <si>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</si>
  <si>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</si>
  <si>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</si>
  <si>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</si>
  <si>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</si>
  <si>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</si>
  <si>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</si>
  <si>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</si>
  <si>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</si>
  <si>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</si>
  <si>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</si>
  <si>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</si>
  <si>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</si>
  <si>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</si>
  <si>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</si>
  <si>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</si>
  <si>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</si>
  <si>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</si>
  <si>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</si>
  <si>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</si>
  <si>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</si>
  <si>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</si>
  <si>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</si>
  <si>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</si>
  <si>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</si>
  <si>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</si>
  <si>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</si>
  <si>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</si>
  <si>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</si>
  <si>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</si>
  <si>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</si>
  <si>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</si>
  <si>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</si>
  <si>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</si>
  <si>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</si>
  <si>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</si>
  <si>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</si>
  <si>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</si>
  <si>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</si>
  <si>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</si>
  <si>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</si>
  <si>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</si>
  <si>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</si>
  <si>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</si>
  <si>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</si>
  <si>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</si>
  <si>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</si>
  <si>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</si>
  <si>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</si>
  <si>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</si>
  <si>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</si>
  <si>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</si>
  <si>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</si>
  <si>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</si>
  <si>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</si>
  <si>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</si>
  <si>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</si>
  <si>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</si>
  <si>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</si>
  <si>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</si>
  <si>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</si>
  <si>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</si>
  <si>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</si>
  <si>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</si>
  <si>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</si>
  <si>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</si>
  <si>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</si>
  <si>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</si>
  <si>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</si>
  <si>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</si>
  <si>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</si>
  <si>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</si>
  <si>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</si>
  <si>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</si>
  <si>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</si>
  <si>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</si>
  <si>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</si>
  <si>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</si>
  <si>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</si>
  <si>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</si>
  <si>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</si>
  <si>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</si>
  <si>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</si>
  <si>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</si>
  <si>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</si>
  <si>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</si>
  <si>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</si>
  <si>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</si>
  <si>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</si>
  <si>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</si>
  <si>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</si>
  <si>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</si>
  <si>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住宅、办公、地下车库</t>
    <phoneticPr fontId="6" type="noConversion"/>
  </si>
  <si>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</si>
  <si>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</si>
  <si>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</si>
  <si>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</si>
  <si>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</si>
  <si>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</si>
  <si>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</si>
  <si>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</si>
  <si>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</si>
  <si>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</si>
  <si>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</si>
  <si>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</si>
  <si>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</si>
  <si>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</si>
  <si>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</si>
  <si>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</si>
  <si>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</si>
  <si>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</si>
  <si>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</si>
  <si>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</si>
  <si>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</si>
  <si>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</si>
  <si>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</si>
  <si>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</si>
  <si>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</si>
  <si>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</si>
  <si>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</si>
  <si>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</si>
  <si>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</si>
  <si>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</si>
  <si>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</si>
  <si>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</si>
  <si>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</si>
  <si>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</si>
  <si>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</si>
  <si>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</si>
  <si>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</si>
  <si>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</si>
  <si>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</si>
  <si>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</si>
  <si>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</si>
  <si>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</si>
  <si>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</si>
  <si>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</si>
  <si>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</si>
  <si>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</si>
  <si>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</si>
  <si>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</si>
  <si>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</si>
  <si>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</si>
  <si>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</si>
  <si>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</si>
  <si>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</si>
  <si>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</si>
  <si>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</si>
  <si>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</si>
  <si>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</si>
  <si>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</si>
  <si>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</si>
  <si>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</si>
  <si>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</si>
  <si>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</si>
  <si>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</si>
  <si>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</si>
  <si>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</si>
  <si>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</si>
  <si>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</si>
  <si>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</si>
  <si>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</si>
  <si>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</si>
  <si>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</si>
  <si>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</si>
  <si>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</si>
  <si>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</si>
  <si>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</si>
  <si>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</si>
  <si>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</si>
  <si>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</si>
  <si>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</si>
  <si>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</si>
  <si>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</si>
  <si>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</si>
  <si>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</si>
  <si>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</si>
  <si>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</si>
  <si>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</si>
  <si>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</si>
  <si>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</si>
  <si>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</si>
  <si>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</si>
  <si>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</si>
  <si>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</si>
  <si>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</si>
  <si>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</si>
  <si>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</si>
  <si>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</si>
  <si>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</si>
  <si>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</si>
  <si>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</si>
  <si>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</si>
  <si>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</si>
  <si>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</si>
  <si>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</si>
  <si>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</si>
  <si>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</si>
  <si>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</si>
  <si>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</si>
  <si>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</si>
  <si>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</si>
  <si>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</si>
  <si>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</si>
  <si>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</si>
  <si>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</si>
  <si>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</si>
  <si>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</si>
  <si>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</si>
  <si>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</si>
  <si>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</si>
  <si>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</si>
  <si>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</si>
  <si>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</si>
  <si>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</si>
  <si>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</si>
  <si>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</si>
  <si>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</si>
  <si>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</si>
  <si>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</si>
  <si>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</si>
  <si>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</si>
  <si>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</si>
  <si>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</si>
  <si>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</si>
  <si>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</si>
  <si>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</si>
  <si>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</si>
  <si>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</si>
  <si>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</si>
  <si>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</si>
  <si>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</si>
  <si>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</si>
  <si>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</si>
  <si>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</si>
  <si>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</si>
  <si>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</si>
  <si>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</si>
  <si>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</si>
  <si>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</si>
  <si>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</si>
  <si>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</si>
  <si>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</si>
  <si>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</si>
  <si>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</si>
  <si>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</si>
  <si>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</si>
  <si>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</si>
  <si>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</si>
  <si>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</si>
  <si>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</si>
  <si>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</si>
  <si>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</si>
  <si>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</si>
  <si>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</si>
  <si>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</si>
  <si>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</si>
  <si>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</si>
  <si>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</si>
  <si>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</si>
  <si>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</si>
  <si>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</si>
  <si>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</si>
  <si>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</si>
  <si>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</si>
  <si>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</si>
  <si>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</si>
  <si>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</si>
  <si>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</si>
  <si>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</si>
  <si>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</si>
  <si>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</si>
  <si>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</si>
  <si>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</si>
  <si>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</si>
  <si>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</si>
  <si>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</si>
  <si>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</si>
  <si>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</si>
  <si>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</si>
  <si>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</si>
  <si>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</si>
  <si>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</si>
  <si>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</si>
  <si>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</si>
  <si>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</si>
  <si>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</si>
  <si>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</si>
  <si>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</si>
  <si>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</si>
  <si>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</si>
  <si>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</si>
  <si>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</si>
  <si>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</si>
  <si>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</si>
  <si>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</si>
  <si>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</si>
  <si>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</si>
  <si>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</si>
  <si>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</si>
  <si>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</si>
  <si>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</si>
  <si>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</si>
  <si>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</si>
  <si>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</si>
  <si>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</si>
  <si>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</si>
  <si>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</si>
  <si>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</si>
  <si>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</si>
  <si>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</si>
  <si>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</si>
  <si>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</si>
  <si>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</si>
  <si>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</si>
  <si>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</si>
  <si>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</si>
  <si>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</si>
  <si>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</si>
  <si>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</si>
  <si>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</si>
  <si>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</si>
  <si>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</si>
  <si>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</si>
  <si>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</si>
  <si>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</si>
  <si>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</si>
  <si>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</si>
  <si>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</si>
  <si>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</si>
  <si>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</si>
  <si>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</si>
  <si>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</si>
  <si>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</si>
  <si>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</si>
  <si>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</si>
  <si>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</si>
  <si>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</si>
  <si>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</si>
  <si>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</si>
  <si>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</si>
  <si>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</si>
  <si>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</si>
  <si>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</si>
  <si>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</si>
  <si>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</si>
  <si>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</si>
  <si>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</si>
  <si>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</si>
  <si>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</si>
  <si>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</si>
  <si>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</si>
  <si>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</si>
  <si>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</si>
  <si>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</si>
  <si>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</si>
  <si>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</si>
  <si>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</si>
  <si>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</si>
  <si>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</si>
  <si>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</si>
  <si>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</si>
  <si>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</si>
  <si>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</si>
  <si>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</si>
  <si>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</si>
  <si>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</si>
  <si>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</si>
  <si>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</si>
  <si>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</si>
  <si>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</si>
  <si>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</si>
  <si>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</si>
  <si>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</si>
  <si>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</si>
  <si>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</si>
  <si>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</si>
  <si>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</si>
  <si>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</si>
  <si>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</si>
  <si>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</si>
  <si>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</si>
  <si>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</si>
  <si>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</si>
  <si>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</si>
  <si>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</si>
  <si>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</si>
  <si>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</si>
  <si>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</si>
  <si>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</si>
  <si>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</si>
  <si>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</si>
  <si>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</si>
  <si>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</si>
  <si>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</si>
  <si>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</si>
  <si>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</si>
  <si>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</si>
  <si>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</si>
  <si>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</si>
  <si>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</si>
  <si>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</si>
  <si>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</si>
  <si>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</si>
  <si>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</si>
  <si>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</si>
  <si>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</si>
  <si>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</si>
  <si>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</si>
  <si>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</si>
  <si>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</si>
  <si>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</si>
  <si>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</si>
  <si>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</si>
  <si>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</si>
  <si>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</si>
  <si>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</si>
  <si>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</si>
  <si>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</si>
  <si>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</si>
  <si>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</si>
  <si>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</si>
  <si>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</si>
  <si>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</si>
  <si>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</si>
  <si>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</si>
  <si>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</si>
  <si>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</si>
  <si>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</si>
  <si>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</si>
  <si>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</si>
  <si>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</si>
  <si>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</si>
  <si>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</si>
  <si>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</si>
  <si>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</si>
  <si>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</si>
  <si>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</si>
  <si>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</si>
  <si>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</si>
  <si>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</si>
  <si>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</si>
  <si>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</si>
  <si>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</si>
  <si>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</si>
  <si>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</si>
  <si>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</si>
  <si>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</si>
  <si>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</si>
  <si>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</si>
  <si>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</si>
  <si>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</si>
  <si>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</si>
  <si>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</si>
  <si>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</si>
  <si>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</si>
  <si>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</si>
  <si>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</si>
  <si>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</si>
  <si>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</si>
  <si>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</si>
  <si>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</si>
  <si>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</si>
  <si>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</si>
  <si>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</si>
  <si>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</si>
  <si>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</si>
  <si>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</si>
  <si>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</si>
  <si>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</si>
  <si>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</si>
  <si>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</si>
  <si>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</si>
  <si>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</si>
  <si>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</si>
  <si>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</si>
  <si>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</si>
  <si>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</si>
  <si>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</si>
  <si>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</si>
  <si>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</si>
  <si>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</si>
  <si>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</si>
  <si>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</si>
  <si>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</si>
  <si>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</si>
  <si>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</si>
  <si>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</si>
  <si>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</si>
  <si>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</si>
  <si>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</si>
  <si>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</si>
  <si>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</si>
  <si>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</si>
  <si>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</si>
  <si>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</si>
  <si>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</si>
  <si>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</si>
  <si>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</si>
  <si>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</si>
  <si>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</si>
  <si>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</si>
  <si>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</si>
  <si>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</si>
  <si>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</si>
  <si>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</si>
  <si>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</si>
  <si>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</si>
  <si>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</si>
  <si>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</si>
  <si>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</si>
  <si>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</si>
  <si>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</si>
  <si>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</si>
  <si>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</si>
  <si>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</si>
  <si>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</si>
  <si>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</si>
  <si>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</si>
  <si>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</si>
  <si>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</si>
  <si>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</si>
  <si>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</si>
  <si>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</si>
  <si>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</si>
  <si>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</si>
  <si>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</si>
  <si>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</si>
  <si>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</si>
  <si>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</si>
  <si>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</si>
  <si>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</si>
  <si>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</si>
  <si>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</si>
  <si>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</si>
  <si>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</si>
  <si>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</si>
  <si>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</si>
  <si>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</si>
  <si>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</si>
  <si>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</si>
  <si>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</si>
  <si>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</si>
  <si>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</si>
  <si>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</si>
  <si>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</si>
  <si>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</si>
  <si>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</si>
  <si>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</si>
  <si>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</si>
  <si>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</si>
  <si>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</si>
  <si>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</si>
  <si>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</si>
  <si>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</si>
  <si>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</si>
  <si>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</si>
  <si>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</si>
  <si>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</si>
  <si>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</si>
  <si>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</si>
  <si>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</si>
  <si>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</si>
  <si>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</si>
  <si>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</si>
  <si>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</si>
  <si>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</si>
  <si>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</si>
  <si>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</si>
  <si>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</si>
  <si>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</si>
  <si>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</si>
  <si>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</si>
  <si>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</si>
  <si>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</si>
  <si>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</si>
  <si>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</si>
  <si>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</si>
  <si>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</si>
  <si>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</si>
  <si>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</si>
  <si>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</si>
  <si>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</si>
  <si>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</si>
  <si>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</si>
  <si>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</si>
  <si>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</si>
  <si>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</si>
  <si>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</si>
  <si>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</si>
  <si>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</si>
  <si>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</si>
  <si>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</si>
  <si>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</si>
  <si>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</si>
  <si>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</si>
  <si>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</si>
  <si>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</si>
  <si>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</si>
  <si>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</si>
  <si>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</si>
  <si>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</si>
  <si>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</si>
  <si>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</si>
  <si>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</si>
  <si>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</si>
  <si>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</si>
  <si>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</si>
  <si>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</si>
  <si>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</si>
  <si>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</si>
  <si>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</si>
  <si>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</si>
  <si>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</si>
  <si>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</si>
  <si>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</si>
  <si>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</si>
  <si>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</si>
  <si>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</si>
  <si>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</si>
  <si>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</si>
  <si>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</si>
  <si>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</si>
  <si>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</si>
  <si>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</si>
  <si>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</si>
  <si>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</si>
  <si>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</si>
  <si>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</si>
  <si>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</si>
  <si>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</si>
  <si>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</si>
  <si>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</si>
  <si>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</si>
  <si>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</si>
  <si>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</si>
  <si>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</si>
  <si>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</si>
  <si>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</si>
  <si>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</si>
  <si>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</si>
  <si>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</si>
  <si>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</si>
  <si>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</si>
  <si>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</si>
  <si>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</si>
  <si>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</si>
  <si>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</si>
  <si>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</si>
  <si>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</si>
  <si>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</si>
  <si>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</si>
  <si>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</si>
  <si>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</si>
  <si>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</si>
  <si>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</si>
  <si>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</si>
  <si>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</si>
  <si>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</si>
  <si>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</si>
  <si>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</si>
  <si>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</si>
  <si>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</si>
  <si>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</si>
  <si>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</si>
  <si>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</si>
  <si>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</si>
  <si>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</si>
  <si>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</si>
  <si>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</si>
  <si>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</si>
  <si>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</si>
  <si>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</si>
  <si>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</si>
  <si>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</si>
  <si>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</si>
  <si>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</si>
  <si>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</si>
  <si>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</si>
  <si>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</si>
  <si>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</si>
  <si>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</si>
  <si>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</si>
  <si>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</si>
  <si>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</si>
  <si>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</si>
  <si>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</si>
  <si>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</si>
  <si>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</si>
  <si>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</si>
  <si>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</si>
  <si>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</si>
  <si>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</si>
  <si>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</si>
  <si>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</si>
  <si>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</si>
  <si>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</si>
  <si>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</si>
  <si>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</si>
  <si>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</si>
  <si>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</si>
  <si>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</si>
  <si>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</si>
  <si>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</si>
  <si>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</si>
  <si>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</si>
  <si>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</si>
  <si>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</si>
  <si>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</si>
  <si>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</si>
  <si>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</si>
  <si>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</si>
  <si>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</si>
  <si>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</si>
  <si>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</si>
  <si>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</si>
  <si>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</si>
  <si>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</si>
  <si>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</si>
  <si>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</si>
  <si>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</si>
  <si>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</si>
  <si>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</si>
  <si>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</si>
  <si>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</si>
  <si>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</si>
  <si>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</si>
  <si>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</si>
  <si>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</si>
  <si>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</si>
  <si>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</si>
  <si>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</si>
  <si>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</si>
  <si>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</si>
  <si>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</si>
  <si>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</si>
  <si>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</si>
  <si>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</si>
  <si>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</si>
  <si>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</si>
  <si>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</si>
  <si>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</si>
  <si>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</si>
  <si>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</si>
  <si>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</si>
  <si>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</si>
  <si>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</si>
  <si>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</si>
  <si>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</si>
  <si>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</si>
  <si>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</si>
  <si>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</si>
  <si>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</si>
  <si>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</si>
  <si>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</si>
  <si>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</si>
  <si>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</si>
  <si>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</si>
  <si>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</si>
  <si>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</si>
  <si>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</si>
  <si>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</si>
  <si>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</si>
  <si>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</si>
  <si>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</si>
  <si>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</si>
  <si>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</si>
  <si>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</si>
  <si>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</si>
  <si>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</si>
  <si>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</si>
  <si>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</si>
  <si>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</si>
  <si>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</si>
  <si>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</si>
  <si>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</si>
  <si>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</si>
  <si>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</si>
  <si>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</si>
  <si>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</si>
  <si>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</si>
  <si>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</si>
  <si>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</si>
  <si>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</si>
  <si>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</si>
  <si>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</si>
  <si>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</si>
  <si>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</si>
  <si>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</si>
  <si>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</si>
  <si>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</si>
  <si>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</si>
  <si>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</si>
  <si>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</si>
  <si>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</si>
  <si>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</si>
  <si>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</si>
  <si>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</si>
  <si>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</si>
  <si>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</si>
  <si>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</si>
  <si>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</si>
  <si>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</si>
  <si>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</si>
  <si>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</si>
  <si>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</si>
  <si>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</si>
  <si>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</si>
  <si>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</si>
  <si>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</si>
  <si>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</si>
  <si>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</si>
  <si>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</si>
  <si>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</si>
  <si>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</si>
  <si>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</si>
  <si>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</si>
  <si>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</si>
  <si>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</si>
  <si>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</si>
  <si>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</si>
  <si>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</si>
  <si>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</si>
  <si>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</si>
  <si>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</si>
  <si>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</si>
  <si>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</si>
  <si>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</si>
  <si>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</si>
  <si>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</si>
  <si>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</si>
  <si>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</si>
  <si>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</si>
  <si>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</si>
  <si>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</si>
  <si>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</si>
  <si>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</si>
  <si>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</si>
  <si>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</si>
  <si>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</si>
  <si>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</si>
  <si>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</si>
  <si>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</si>
  <si>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</si>
  <si>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</si>
  <si>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</si>
  <si>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</si>
  <si>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</si>
  <si>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</si>
  <si>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</si>
  <si>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</si>
  <si>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</si>
  <si>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</si>
  <si>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</si>
  <si>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</si>
  <si>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</si>
  <si>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</si>
  <si>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</si>
  <si>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</si>
  <si>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</si>
  <si>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</si>
  <si>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</si>
  <si>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</si>
  <si>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</si>
  <si>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</si>
  <si>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</si>
  <si>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</si>
  <si>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</si>
  <si>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</si>
  <si>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</si>
  <si>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</si>
  <si>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</si>
  <si>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</si>
  <si>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</si>
  <si>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</si>
  <si>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</si>
  <si>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</si>
  <si>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</si>
  <si>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</si>
  <si>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</si>
  <si>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</si>
  <si>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</si>
  <si>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</si>
  <si>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</si>
  <si>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</si>
  <si>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</si>
  <si>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</si>
  <si>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</si>
  <si>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</si>
  <si>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</si>
  <si>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</si>
  <si>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</si>
  <si>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</si>
  <si>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</si>
  <si>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</si>
  <si>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</si>
  <si>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</si>
  <si>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</si>
  <si>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</si>
  <si>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</si>
  <si>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</si>
  <si>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</si>
  <si>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</si>
  <si>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</si>
  <si>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</si>
  <si>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</si>
  <si>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</si>
  <si>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</si>
  <si>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</si>
  <si>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</si>
  <si>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</si>
  <si>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</si>
  <si>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</si>
  <si>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</si>
  <si>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</si>
  <si>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</si>
  <si>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</si>
  <si>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</si>
  <si>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</si>
  <si>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</si>
  <si>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</si>
  <si>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</si>
  <si>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</si>
  <si>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</si>
  <si>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</si>
  <si>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</si>
  <si>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</si>
  <si>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</si>
  <si>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</si>
  <si>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</si>
  <si>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</si>
  <si>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</si>
  <si>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</si>
  <si>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</si>
  <si>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</si>
  <si>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</si>
  <si>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</si>
  <si>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</si>
  <si>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</si>
  <si>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</si>
  <si>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</si>
  <si>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</si>
  <si>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</si>
  <si>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</si>
  <si>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</si>
  <si>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</si>
  <si>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</si>
  <si>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</si>
  <si>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</si>
  <si>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</si>
  <si>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</si>
  <si>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</si>
  <si>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</si>
  <si>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</si>
  <si>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</si>
  <si>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</si>
  <si>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</si>
  <si>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</si>
  <si>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</si>
  <si>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</si>
  <si>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</si>
  <si>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</si>
  <si>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</si>
  <si>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</si>
  <si>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</si>
  <si>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</si>
  <si>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</si>
  <si>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</si>
  <si>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</si>
  <si>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</si>
  <si>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</si>
  <si>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</si>
  <si>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</si>
  <si>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</si>
  <si>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</si>
  <si>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</si>
  <si>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</si>
  <si>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</si>
  <si>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</si>
  <si>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</si>
  <si>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</si>
  <si>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</si>
  <si>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</si>
  <si>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</si>
  <si>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</si>
  <si>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</si>
  <si>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</si>
  <si>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</si>
  <si>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</si>
  <si>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</si>
  <si>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</si>
  <si>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</si>
  <si>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</si>
  <si>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</si>
  <si>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</si>
  <si>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</si>
  <si>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</si>
  <si>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</si>
  <si>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</si>
  <si>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</si>
  <si>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</si>
  <si>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地上建筑面积</t>
    <phoneticPr fontId="206" type="noConversion"/>
  </si>
  <si>
    <t>地下建筑面积</t>
    <phoneticPr fontId="206" type="noConversion"/>
  </si>
  <si>
    <t>车库</t>
  </si>
  <si>
    <t>郑燚</t>
  </si>
  <si>
    <t>王鹏</t>
  </si>
  <si>
    <t>独立商业</t>
  </si>
  <si>
    <t>工程进度</t>
  </si>
  <si>
    <t>收益法 (办公)</t>
    <phoneticPr fontId="17" type="noConversion"/>
  </si>
  <si>
    <t>收益法（商业）</t>
  </si>
  <si>
    <t>收益法（商业）</t>
    <phoneticPr fontId="17" type="noConversion"/>
  </si>
  <si>
    <t>商业、办公</t>
    <phoneticPr fontId="45" type="noConversion"/>
  </si>
  <si>
    <t>假设开发法</t>
  </si>
  <si>
    <t>未包含在土地购买价格中</t>
  </si>
  <si>
    <t>1号楼</t>
    <phoneticPr fontId="206" type="noConversion"/>
  </si>
  <si>
    <t>2号楼</t>
    <phoneticPr fontId="206" type="noConversion"/>
  </si>
  <si>
    <t>3号楼</t>
  </si>
  <si>
    <t>5号楼</t>
  </si>
  <si>
    <t>6号楼</t>
  </si>
  <si>
    <t>7号楼</t>
  </si>
  <si>
    <t>9号楼</t>
  </si>
  <si>
    <t>10号楼</t>
  </si>
  <si>
    <t>11号楼</t>
  </si>
  <si>
    <t>12号楼</t>
  </si>
  <si>
    <t>13号楼</t>
  </si>
  <si>
    <t>幼儿园</t>
    <phoneticPr fontId="206" type="noConversion"/>
  </si>
  <si>
    <t>商业</t>
    <phoneticPr fontId="206" type="noConversion"/>
  </si>
  <si>
    <t>地下室</t>
    <phoneticPr fontId="206" type="noConversion"/>
  </si>
  <si>
    <t>性质</t>
    <phoneticPr fontId="206" type="noConversion"/>
  </si>
  <si>
    <t>住宅</t>
    <phoneticPr fontId="206" type="noConversion"/>
  </si>
  <si>
    <t>办公</t>
    <phoneticPr fontId="206" type="noConversion"/>
  </si>
  <si>
    <t>车位</t>
    <phoneticPr fontId="206" type="noConversion"/>
  </si>
  <si>
    <t>配套</t>
    <phoneticPr fontId="206" type="noConversion"/>
  </si>
  <si>
    <t>北区商业</t>
    <phoneticPr fontId="206" type="noConversion"/>
  </si>
  <si>
    <t>4层</t>
    <phoneticPr fontId="206" type="noConversion"/>
  </si>
  <si>
    <t>建筑面积</t>
    <phoneticPr fontId="206" type="noConversion"/>
  </si>
  <si>
    <t>9号楼商业</t>
    <phoneticPr fontId="206" type="noConversion"/>
  </si>
  <si>
    <r>
      <t>1</t>
    </r>
    <r>
      <rPr>
        <sz val="11"/>
        <color theme="1"/>
        <rFont val="宋体"/>
        <family val="3"/>
        <charset val="134"/>
        <scheme val="minor"/>
      </rPr>
      <t>0号楼商业</t>
    </r>
    <phoneticPr fontId="206" type="noConversion"/>
  </si>
  <si>
    <t>2层</t>
    <phoneticPr fontId="206" type="noConversion"/>
  </si>
  <si>
    <t>楼层</t>
    <phoneticPr fontId="206" type="noConversion"/>
  </si>
  <si>
    <t>公租房</t>
    <phoneticPr fontId="206" type="noConversion"/>
  </si>
  <si>
    <t>物业用房</t>
    <phoneticPr fontId="206" type="noConversion"/>
  </si>
  <si>
    <t>卫生服务站</t>
    <phoneticPr fontId="206" type="noConversion"/>
  </si>
  <si>
    <t>文化活动站</t>
    <phoneticPr fontId="206" type="noConversion"/>
  </si>
  <si>
    <t>社区服务中心</t>
    <phoneticPr fontId="206" type="noConversion"/>
  </si>
  <si>
    <t>居委会</t>
    <phoneticPr fontId="206" type="noConversion"/>
  </si>
  <si>
    <t>便民店</t>
    <phoneticPr fontId="206" type="noConversion"/>
  </si>
  <si>
    <t>储蓄所</t>
    <phoneticPr fontId="206" type="noConversion"/>
  </si>
  <si>
    <t>公厕</t>
    <phoneticPr fontId="206" type="noConversion"/>
  </si>
  <si>
    <t>开闭所</t>
    <phoneticPr fontId="206" type="noConversion"/>
  </si>
  <si>
    <t>消防控制室</t>
    <phoneticPr fontId="206" type="noConversion"/>
  </si>
  <si>
    <t>分项</t>
    <phoneticPr fontId="206" type="noConversion"/>
  </si>
  <si>
    <t>非机动车</t>
    <phoneticPr fontId="206" type="noConversion"/>
  </si>
  <si>
    <t>地库辅助用房</t>
    <phoneticPr fontId="206" type="noConversion"/>
  </si>
  <si>
    <t>地下物业用房</t>
    <phoneticPr fontId="206" type="noConversion"/>
  </si>
  <si>
    <t>热交换站</t>
    <phoneticPr fontId="206" type="noConversion"/>
  </si>
  <si>
    <t>地下设备用房</t>
    <phoneticPr fontId="206" type="noConversion"/>
  </si>
  <si>
    <t>商业</t>
    <phoneticPr fontId="206" type="noConversion"/>
  </si>
  <si>
    <t>车库</t>
    <phoneticPr fontId="206" type="noConversion"/>
  </si>
  <si>
    <t>其他</t>
    <phoneticPr fontId="206" type="noConversion"/>
  </si>
  <si>
    <t>5518个</t>
    <phoneticPr fontId="206" type="noConversion"/>
  </si>
  <si>
    <t>河南恒祥实业有限公司</t>
    <phoneticPr fontId="6" type="noConversion"/>
  </si>
  <si>
    <t>金水区红旗路北、经七路东</t>
    <phoneticPr fontId="116" type="noConversion"/>
  </si>
  <si>
    <t>住宅</t>
    <phoneticPr fontId="3" type="noConversion"/>
  </si>
  <si>
    <t>公租房</t>
    <phoneticPr fontId="3" type="noConversion"/>
  </si>
  <si>
    <t>平层住宅</t>
  </si>
  <si>
    <t>商品住宅</t>
    <phoneticPr fontId="206" type="noConversion"/>
  </si>
  <si>
    <t>安置房</t>
    <phoneticPr fontId="206" type="noConversion"/>
  </si>
  <si>
    <t>郑州一级</t>
  </si>
  <si>
    <t>郑州一级</t>
    <phoneticPr fontId="3" type="noConversion"/>
  </si>
  <si>
    <t>其他省市系数</t>
  </si>
  <si>
    <t>其他：</t>
  </si>
  <si>
    <t>河南省郑州市</t>
    <phoneticPr fontId="6" type="noConversion"/>
  </si>
  <si>
    <t>预测报告面积</t>
    <phoneticPr fontId="206" type="noConversion"/>
  </si>
  <si>
    <t>住宅合计</t>
    <phoneticPr fontId="206" type="noConversion"/>
  </si>
  <si>
    <t>办公合计</t>
    <phoneticPr fontId="206" type="noConversion"/>
  </si>
  <si>
    <t>安置房</t>
    <phoneticPr fontId="206" type="noConversion"/>
  </si>
  <si>
    <t>商品住宅</t>
    <phoneticPr fontId="206" type="noConversion"/>
  </si>
  <si>
    <t>办公（公寓）</t>
    <phoneticPr fontId="3" type="noConversion"/>
  </si>
  <si>
    <t>公寓</t>
  </si>
  <si>
    <t>底商</t>
    <phoneticPr fontId="3" type="noConversion"/>
  </si>
  <si>
    <t>商场</t>
  </si>
  <si>
    <t>商场</t>
    <phoneticPr fontId="3" type="noConversion"/>
  </si>
  <si>
    <t>底商</t>
    <phoneticPr fontId="206" type="noConversion"/>
  </si>
  <si>
    <t>商场</t>
    <phoneticPr fontId="206" type="noConversion"/>
  </si>
  <si>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</si>
  <si>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</si>
  <si>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</si>
  <si>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</si>
  <si>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</si>
  <si>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</si>
  <si>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</si>
  <si>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</si>
  <si>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亚新美好城邦</t>
    <phoneticPr fontId="3" type="noConversion"/>
  </si>
  <si>
    <t>伟业龙湖上城</t>
    <phoneticPr fontId="3" type="noConversion"/>
  </si>
  <si>
    <t>物华国际</t>
    <phoneticPr fontId="3" type="noConversion"/>
  </si>
  <si>
    <t>面积说明</t>
    <phoneticPr fontId="206" type="noConversion"/>
  </si>
  <si>
    <t>地下面积及商场按照建工规证</t>
    <phoneticPr fontId="206" type="noConversion"/>
  </si>
  <si>
    <t>地上住宅、底商及办公面积从预测报告里</t>
    <phoneticPr fontId="206" type="noConversion"/>
  </si>
  <si>
    <t>垃圾站</t>
    <phoneticPr fontId="206" type="noConversion"/>
  </si>
  <si>
    <t>统计</t>
    <phoneticPr fontId="206" type="noConversion"/>
  </si>
  <si>
    <t>商品住宅</t>
    <phoneticPr fontId="206" type="noConversion"/>
  </si>
  <si>
    <t>公租房</t>
    <phoneticPr fontId="206" type="noConversion"/>
  </si>
  <si>
    <t>安置房</t>
    <phoneticPr fontId="206" type="noConversion"/>
  </si>
  <si>
    <t>办公用房</t>
    <phoneticPr fontId="206" type="noConversion"/>
  </si>
  <si>
    <t>地下车库</t>
    <phoneticPr fontId="206" type="noConversion"/>
  </si>
  <si>
    <t>其他设备用房</t>
    <phoneticPr fontId="206" type="noConversion"/>
  </si>
  <si>
    <t>地上</t>
    <phoneticPr fontId="206" type="noConversion"/>
  </si>
  <si>
    <t>地下</t>
    <phoneticPr fontId="206" type="noConversion"/>
  </si>
  <si>
    <t>底商</t>
    <phoneticPr fontId="206" type="noConversion"/>
  </si>
  <si>
    <t>商场</t>
    <phoneticPr fontId="206" type="noConversion"/>
  </si>
  <si>
    <t>地下车库</t>
    <phoneticPr fontId="206" type="noConversion"/>
  </si>
  <si>
    <t>公共配套</t>
    <phoneticPr fontId="206" type="noConversion"/>
  </si>
  <si>
    <t>设备用房</t>
    <phoneticPr fontId="206" type="noConversion"/>
  </si>
  <si>
    <t>合计</t>
    <phoneticPr fontId="206" type="noConversion"/>
  </si>
  <si>
    <t>统计汇总</t>
    <phoneticPr fontId="206" type="noConversion"/>
  </si>
  <si>
    <t>比较法-住宅</t>
  </si>
  <si>
    <t>*</t>
  </si>
  <si>
    <t>*</t>
    <phoneticPr fontId="17" type="noConversion"/>
  </si>
  <si>
    <t>比较法-公寓</t>
  </si>
  <si>
    <t>比较法-公寓</t>
    <phoneticPr fontId="17" type="noConversion"/>
  </si>
  <si>
    <t>办公（公寓）</t>
  </si>
  <si>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</si>
  <si>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</si>
  <si>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价值时点/估价期日</t>
    <phoneticPr fontId="206" type="noConversion"/>
  </si>
  <si>
    <t>价值类型</t>
  </si>
  <si>
    <t>总价（万元）</t>
  </si>
  <si>
    <t>楼面单价（元/平方米）</t>
  </si>
  <si>
    <t>地面单价（元/平方米）</t>
    <phoneticPr fontId="206" type="noConversion"/>
  </si>
  <si>
    <t>市场价值</t>
  </si>
  <si>
    <t>抵押价值</t>
  </si>
  <si>
    <t>抵押价值-已注销</t>
    <phoneticPr fontId="206" type="noConversion"/>
  </si>
  <si>
    <t>总投</t>
    <phoneticPr fontId="206" type="noConversion"/>
  </si>
  <si>
    <t>租金</t>
    <phoneticPr fontId="206" type="noConversion"/>
  </si>
  <si>
    <t>重置成新价</t>
    <phoneticPr fontId="206" type="noConversion"/>
  </si>
  <si>
    <t>项目名称</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</si>
  <si>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</si>
  <si>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</si>
  <si>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</si>
  <si>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t>地面单价（元/平方米）</t>
    <phoneticPr fontId="206" type="noConversion"/>
  </si>
  <si>
    <t>抵押价值（万元）</t>
    <phoneticPr fontId="206" type="noConversion"/>
  </si>
  <si>
    <t>抵押价值-已注销（万元）</t>
    <phoneticPr fontId="206" type="noConversion"/>
  </si>
  <si>
    <t>抵押净值（万元）</t>
    <phoneticPr fontId="206" type="noConversion"/>
  </si>
  <si>
    <t>估价对象1（本表）</t>
    <phoneticPr fontId="206" type="noConversion"/>
  </si>
  <si>
    <t>估价对象2</t>
    <phoneticPr fontId="206"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</si>
  <si>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</si>
  <si>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</si>
  <si>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</si>
  <si>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</si>
  <si>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</si>
  <si>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</si>
  <si>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</si>
  <si>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</si>
  <si>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</si>
  <si>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</si>
  <si>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纯商品房</t>
    <phoneticPr fontId="45" type="noConversion"/>
  </si>
  <si>
    <t>回迁混居</t>
    <phoneticPr fontId="45" type="noConversion"/>
  </si>
  <si>
    <t>纯商品房</t>
    <phoneticPr fontId="45" type="noConversion"/>
  </si>
  <si>
    <t>判定</t>
  </si>
  <si>
    <t>总建面</t>
    <phoneticPr fontId="8" type="noConversion"/>
  </si>
  <si>
    <t>车位</t>
  </si>
  <si>
    <t>收益法（车位)</t>
  </si>
  <si>
    <t>收益法（车位)</t>
    <phoneticPr fontId="17" type="noConversion"/>
  </si>
  <si>
    <t>2016年5月1日前购买</t>
  </si>
  <si>
    <t>仅含出让金</t>
  </si>
  <si>
    <t>序号</t>
    <phoneticPr fontId="3" type="noConversion"/>
  </si>
  <si>
    <t>单位名称</t>
    <phoneticPr fontId="3" type="noConversion"/>
  </si>
  <si>
    <t>付款金额</t>
    <phoneticPr fontId="3" type="noConversion"/>
  </si>
  <si>
    <t>备注（付款截止时间）</t>
    <phoneticPr fontId="3" type="noConversion"/>
  </si>
  <si>
    <t>拆迁过渡费</t>
    <phoneticPr fontId="3" type="noConversion"/>
  </si>
  <si>
    <t>2017.05.31</t>
    <phoneticPr fontId="3" type="noConversion"/>
  </si>
  <si>
    <t>其他补偿支出</t>
    <phoneticPr fontId="3" type="noConversion"/>
  </si>
  <si>
    <t>支付郑州市国土资源局土地出让金</t>
  </si>
  <si>
    <t>2017.05.31</t>
  </si>
  <si>
    <t>支付土地出让金契税和配套费契税</t>
  </si>
  <si>
    <t>城市基础设施配套费</t>
    <phoneticPr fontId="3" type="noConversion"/>
  </si>
  <si>
    <t>工程款</t>
    <phoneticPr fontId="248" type="noConversion"/>
  </si>
  <si>
    <t>中原信托有限公司保障基金认购款</t>
    <phoneticPr fontId="248" type="noConversion"/>
  </si>
  <si>
    <t>财务费用</t>
    <phoneticPr fontId="248" type="noConversion"/>
  </si>
  <si>
    <t>业务招待费</t>
    <phoneticPr fontId="248" type="noConversion"/>
  </si>
  <si>
    <t>工资费用</t>
    <phoneticPr fontId="248" type="noConversion"/>
  </si>
  <si>
    <t>其他费用支出</t>
    <phoneticPr fontId="248" type="noConversion"/>
  </si>
  <si>
    <t>合计</t>
    <phoneticPr fontId="248" type="noConversion"/>
  </si>
  <si>
    <t>河南恒祥实业有限公司截止目前已经投入成本表</t>
    <phoneticPr fontId="248" type="noConversion"/>
  </si>
  <si>
    <t>2.估价师知悉的除抵押担保权以外的法定优先受偿款</t>
  </si>
  <si>
    <t>河南恒祥实业有限公司土地出让金返还明细表</t>
    <phoneticPr fontId="248" type="noConversion"/>
  </si>
  <si>
    <t>单位：元</t>
    <phoneticPr fontId="248" type="noConversion"/>
  </si>
  <si>
    <t>序号</t>
    <phoneticPr fontId="248" type="noConversion"/>
  </si>
  <si>
    <t>收款日期</t>
    <phoneticPr fontId="248" type="noConversion"/>
  </si>
  <si>
    <t>摘要</t>
    <phoneticPr fontId="248" type="noConversion"/>
  </si>
  <si>
    <t>本次收款金额</t>
    <phoneticPr fontId="248" type="noConversion"/>
  </si>
  <si>
    <t>2016.5.31</t>
    <phoneticPr fontId="248" type="noConversion"/>
  </si>
  <si>
    <t>收到土地出让金返还</t>
    <phoneticPr fontId="248" type="noConversion"/>
  </si>
  <si>
    <t>2016.9.30</t>
    <phoneticPr fontId="248" type="noConversion"/>
  </si>
  <si>
    <t>将183000安置房的建安费用考虑为土地实物地租，未投入的部分当作有限受偿款。</t>
    <phoneticPr fontId="8" type="noConversion"/>
  </si>
  <si>
    <t>单价</t>
    <phoneticPr fontId="8" type="noConversion"/>
  </si>
  <si>
    <t>总面积</t>
    <phoneticPr fontId="8" type="noConversion"/>
  </si>
  <si>
    <t>抵押价值</t>
    <phoneticPr fontId="8" type="noConversion"/>
  </si>
  <si>
    <t>注销后放款</t>
  </si>
  <si>
    <t>安置面积说明</t>
    <phoneticPr fontId="206" type="noConversion"/>
  </si>
  <si>
    <t>安置住宅</t>
    <phoneticPr fontId="206" type="noConversion"/>
  </si>
  <si>
    <t>安置办公面积</t>
    <phoneticPr fontId="206" type="noConversion"/>
  </si>
  <si>
    <t>安置村集体办公</t>
    <phoneticPr fontId="206" type="noConversion"/>
  </si>
  <si>
    <t>公共配套</t>
    <phoneticPr fontId="206" type="noConversion"/>
  </si>
  <si>
    <t>合计</t>
    <phoneticPr fontId="206" type="noConversion"/>
  </si>
  <si>
    <t>全部缴纳</t>
  </si>
  <si>
    <t>凤栖街以东、安达路以北</t>
    <phoneticPr fontId="45" type="noConversion"/>
  </si>
  <si>
    <t>凤栖街以东、安达路以北</t>
    <phoneticPr fontId="45" type="noConversion"/>
  </si>
  <si>
    <r>
      <t>38.8</t>
    </r>
    <r>
      <rPr>
        <sz val="11"/>
        <color indexed="8"/>
        <rFont val="宋体"/>
        <family val="3"/>
        <charset val="134"/>
      </rPr>
      <t>、</t>
    </r>
    <r>
      <rPr>
        <sz val="11"/>
        <color indexed="8"/>
        <rFont val="Arial"/>
        <family val="2"/>
      </rPr>
      <t>68.8</t>
    </r>
    <phoneticPr fontId="45" type="noConversion"/>
  </si>
  <si>
    <t>桑林东路东、瑞风路南</t>
    <phoneticPr fontId="45" type="noConversion"/>
  </si>
  <si>
    <t>经开第十九大街以东、四港联东大道以西</t>
    <phoneticPr fontId="45" type="noConversion"/>
  </si>
  <si>
    <t>限价商品房</t>
    <phoneticPr fontId="45" type="noConversion"/>
  </si>
  <si>
    <t>限价商品房</t>
    <phoneticPr fontId="45" type="noConversion"/>
  </si>
  <si>
    <t>拖欠工程款分配</t>
    <phoneticPr fontId="8" type="noConversion"/>
  </si>
  <si>
    <t>本次抵押范围</t>
    <phoneticPr fontId="8" type="noConversion"/>
  </si>
  <si>
    <t>剩余抵押面积</t>
    <phoneticPr fontId="8" type="noConversion"/>
  </si>
  <si>
    <t>安置房</t>
    <phoneticPr fontId="3" type="noConversion"/>
  </si>
  <si>
    <t>安置办公</t>
    <phoneticPr fontId="3" type="noConversion"/>
  </si>
  <si>
    <t>办公楼</t>
  </si>
  <si>
    <t>安置住宅</t>
  </si>
  <si>
    <t>安置住宅</t>
    <phoneticPr fontId="7" type="noConversion"/>
  </si>
  <si>
    <t>安置办公</t>
  </si>
  <si>
    <t>安置办公</t>
    <phoneticPr fontId="7" type="noConversion"/>
  </si>
  <si>
    <t>幼儿园</t>
    <phoneticPr fontId="3" type="noConversion"/>
  </si>
  <si>
    <t>安置过度费（万元）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</si>
</sst>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9"/>
      <name val="宋体"/>
      <family val="3"/>
      <charset val="134"/>
    </font>
    <font>
      <sz val="12"/>
      <name val="黑体"/>
      <family val="3"/>
      <charset val="134"/>
    </font>
    <font>
      <b/>
      <sz val="16"/>
      <name val="宋体"/>
      <family val="3"/>
      <charset val="134"/>
    </font>
    <font>
      <b/>
      <sz val="12"/>
      <name val="楷体"/>
      <family val="3"/>
      <charset val="134"/>
    </font>
    <font>
      <sz val="12"/>
      <name val="楷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9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Fill="1" applyBorder="1">
      <alignment vertical="center"/>
    </xf>
    <xf numFmtId="0" fontId="195" fillId="0" borderId="2" xfId="0" applyFont="1" applyBorder="1" applyAlignment="1" applyProtection="1">
      <alignment horizontal="center" vertical="center" wrapText="1"/>
      <protection locked="0"/>
    </xf>
    <xf numFmtId="176" fontId="152"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1"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2" fillId="16" borderId="1" xfId="0" applyFont="1" applyFill="1" applyBorder="1">
      <alignment vertical="center"/>
    </xf>
    <xf numFmtId="0" fontId="0" fillId="16" borderId="0" xfId="0" applyFill="1">
      <alignment vertical="center"/>
    </xf>
    <xf numFmtId="0" fontId="131"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245" fillId="6" borderId="1" xfId="13" applyFont="1" applyFill="1" applyBorder="1" applyAlignment="1">
      <alignment horizontal="center" vertical="center" wrapText="1"/>
    </xf>
    <xf numFmtId="0" fontId="245" fillId="0" borderId="0" xfId="13" applyFont="1" applyBorder="1" applyAlignment="1">
      <alignment horizontal="left" vertical="center" wrapText="1"/>
    </xf>
    <xf numFmtId="0" fontId="244" fillId="0" borderId="0" xfId="13" applyBorder="1"/>
    <xf numFmtId="0" fontId="244" fillId="0" borderId="0" xfId="13"/>
    <xf numFmtId="14" fontId="245" fillId="6" borderId="1" xfId="13" applyNumberFormat="1" applyFont="1" applyFill="1" applyBorder="1" applyAlignment="1">
      <alignment horizontal="center" vertical="center" wrapText="1"/>
    </xf>
    <xf numFmtId="0" fontId="245" fillId="13" borderId="1" xfId="13" applyFont="1" applyFill="1" applyBorder="1" applyAlignment="1" applyProtection="1">
      <alignment horizontal="center" vertical="center" wrapText="1"/>
      <protection locked="0"/>
    </xf>
    <xf numFmtId="0" fontId="244" fillId="6" borderId="1" xfId="13" applyFill="1" applyBorder="1" applyAlignment="1">
      <alignment vertical="center"/>
    </xf>
    <xf numFmtId="0" fontId="245" fillId="6" borderId="13" xfId="13" applyFont="1" applyFill="1" applyBorder="1" applyAlignment="1">
      <alignment horizontal="center" vertical="center" wrapText="1"/>
    </xf>
    <xf numFmtId="0" fontId="131" fillId="6" borderId="1" xfId="13" applyFont="1" applyFill="1" applyBorder="1"/>
    <xf numFmtId="0" fontId="244" fillId="0" borderId="1" xfId="13" applyBorder="1" applyProtection="1">
      <protection locked="0"/>
    </xf>
    <xf numFmtId="0" fontId="245" fillId="0" borderId="1" xfId="13" applyFont="1" applyBorder="1" applyAlignment="1" applyProtection="1">
      <alignment horizontal="left" vertical="center" wrapText="1"/>
      <protection locked="0"/>
    </xf>
    <xf numFmtId="186" fontId="139" fillId="7" borderId="1" xfId="0" applyNumberFormat="1" applyFont="1" applyFill="1" applyBorder="1" applyAlignment="1" applyProtection="1">
      <alignment horizontal="center" vertical="center"/>
      <protection locked="0"/>
    </xf>
    <xf numFmtId="186" fontId="139" fillId="7" borderId="13"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9"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9"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2"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9" fillId="0" borderId="1" xfId="0" applyNumberFormat="1" applyFont="1" applyBorder="1" applyAlignment="1" applyProtection="1">
      <alignment horizontal="center" vertical="center"/>
      <protection locked="0"/>
    </xf>
    <xf numFmtId="199" fontId="135"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51" fillId="0" borderId="16" xfId="0" applyFont="1" applyBorder="1" applyAlignment="1" applyProtection="1">
      <alignment horizontal="center" vertical="center"/>
      <protection locked="0"/>
    </xf>
    <xf numFmtId="192" fontId="251" fillId="0" borderId="151" xfId="0" applyNumberFormat="1" applyFont="1" applyBorder="1" applyAlignment="1" applyProtection="1">
      <alignment horizontal="center" vertical="center"/>
      <protection locked="0"/>
    </xf>
    <xf numFmtId="0" fontId="251" fillId="0" borderId="1" xfId="0" applyFont="1" applyBorder="1" applyAlignment="1" applyProtection="1">
      <alignment horizontal="center" vertical="center"/>
      <protection locked="0"/>
    </xf>
    <xf numFmtId="0" fontId="251" fillId="0" borderId="10" xfId="0" applyFont="1" applyBorder="1" applyAlignment="1" applyProtection="1">
      <alignment horizontal="center" vertical="center"/>
      <protection locked="0"/>
    </xf>
    <xf numFmtId="0" fontId="252"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2" fillId="8" borderId="5" xfId="0" applyFont="1" applyFill="1" applyBorder="1" applyAlignment="1">
      <alignment horizontal="center" vertical="center"/>
    </xf>
    <xf numFmtId="0" fontId="132" fillId="8" borderId="54" xfId="0" applyFont="1" applyFill="1" applyBorder="1" applyAlignment="1">
      <alignment horizontal="center" vertical="center"/>
    </xf>
    <xf numFmtId="0" fontId="132" fillId="8" borderId="3" xfId="0" applyFont="1" applyFill="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176" fontId="250" fillId="0" borderId="0" xfId="0" applyNumberFormat="1" applyFont="1" applyAlignment="1" applyProtection="1">
      <alignment horizontal="center" vertical="center"/>
      <protection locked="0"/>
    </xf>
    <xf numFmtId="0" fontId="250"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24180;&#24658;&#31077;&#23454;&#19994;&#26032;&#24314;&#25991;&#20214;&#22841;/2017&#24037;&#31243;&#27454;&#20184;&#27454;&#21488;&#36134;/&#24658;&#31077;&#23454;&#19994;&#24320;&#21457;&#39033;&#30446;&#21488;&#36134;2017&#24180;1&#26376;/&#24658;&#31077;&#23454;&#19994;&#24320;&#21457;&#39033;&#30446;&#21488;&#24080;2017&#24180;1&#263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1">
          <cell r="A21"/>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7">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2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2">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7"/>
      <sheetName val="A26"/>
      <sheetName val="A25"/>
      <sheetName val="A24"/>
      <sheetName val="A23"/>
      <sheetName val="A22"/>
      <sheetName val="A21"/>
      <sheetName val="A20"/>
      <sheetName val="A19"/>
      <sheetName val="A18"/>
      <sheetName val="A17"/>
      <sheetName val="A16"/>
      <sheetName val="A15"/>
      <sheetName val="A14"/>
      <sheetName val="A13"/>
      <sheetName val="A12"/>
      <sheetName val="A11"/>
      <sheetName val="A10"/>
      <sheetName val="A9"/>
      <sheetName val="A8"/>
      <sheetName val="A7"/>
      <sheetName val="A5"/>
      <sheetName val="A6"/>
      <sheetName val="A4"/>
      <sheetName val="A3"/>
      <sheetName val="A2"/>
      <sheetName val="A1"/>
      <sheetName val="支付土地出让金合计"/>
      <sheetName val="支付工程款合计"/>
      <sheetName val="无合同目录"/>
      <sheetName val="有合同目录"/>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0">
          <cell r="E20">
            <v>50299955.039999999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5" customWidth="1"/>
    <col min="2" max="2" width="81" style="3112" customWidth="1"/>
    <col min="3" max="16384" width="9" style="3110"/>
  </cols>
  <sheetData>
    <row r="1" spans="1:2" s="3098" customFormat="1" ht="16.5" thickBot="1">
      <c r="A1" s="3097" t="s">
        <v>3205</v>
      </c>
      <c r="B1" s="3096" t="s">
        <v>3296</v>
      </c>
    </row>
    <row r="2" spans="1:2" s="3101" customFormat="1" ht="15" thickTop="1">
      <c r="A2" s="3099" t="s">
        <v>3206</v>
      </c>
      <c r="B2" s="3100" t="str">
        <f>'预评函-封皮'!B37:I37</f>
        <v>河南省郑州市金水区红旗路北、经七路东出让国有建设用地使用权及在建建筑物房地产市场价值预评估</v>
      </c>
    </row>
    <row r="3" spans="1:2" s="3104" customFormat="1">
      <c r="A3" s="3102" t="s">
        <v>3207</v>
      </c>
      <c r="B3" s="3103" t="str">
        <f>'预评函-封皮'!B40</f>
        <v>河南恒祥实业有限公司</v>
      </c>
    </row>
    <row r="4" spans="1:2" s="3104" customFormat="1">
      <c r="A4" s="3102" t="s">
        <v>3208</v>
      </c>
      <c r="B4" s="3103" t="str">
        <f ca="1">'预评函-封皮'!B46</f>
        <v>王鹏（注册号：1120050019)、郑燚（注册号：1120070131)</v>
      </c>
    </row>
    <row r="5" spans="1:2" s="3098" customFormat="1" ht="15" thickBot="1">
      <c r="A5" s="3105" t="s">
        <v>3209</v>
      </c>
      <c r="B5" s="3106" t="str">
        <f>'预评函-封皮'!B49</f>
        <v>康正预评字号</v>
      </c>
    </row>
    <row r="6" spans="1:2" s="3101" customFormat="1" ht="15" thickTop="1">
      <c r="A6" s="3099" t="s">
        <v>3210</v>
      </c>
      <c r="B6" s="3100" t="str">
        <f>'预评函-1'!A4</f>
        <v>受贵公司委托，我公司对河南省郑州市金水区红旗路北、经七路东出让国有建设用地使用权及在建建筑物房地产抵押价值进行了预评估。</v>
      </c>
    </row>
    <row r="7" spans="1:2" s="3104" customFormat="1">
      <c r="A7" s="3102" t="s">
        <v>3250</v>
      </c>
      <c r="B7" s="3103"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24814.06平方米，建筑面积为144992.93平方米。</v>
      </c>
    </row>
    <row r="8" spans="1:2" s="3104" customFormat="1">
      <c r="A8" s="3102" t="s">
        <v>3251</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3252</v>
      </c>
      <c r="B9" s="3103"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24814.06平方米，规划建筑面积为144992.93平方米。</v>
      </c>
    </row>
    <row r="10" spans="1:2" s="3104" customFormat="1">
      <c r="A10" s="3102" t="s">
        <v>3253</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3211</v>
      </c>
      <c r="B11" s="3103" t="str">
        <f>'预评函-1'!A13</f>
        <v>为估价委托人在向XX银行办理贷款手续过程中，确定房地产抵押贷款额度提供参考依据而评估房地产抵押价值。</v>
      </c>
    </row>
    <row r="12" spans="1:2" s="3104" customFormat="1">
      <c r="A12" s="3102" t="s">
        <v>3212</v>
      </c>
      <c r="B12" s="3103" t="str">
        <f>'预评函-1'!A15</f>
        <v>2017年8月12日评估专业人员实地查勘之日</v>
      </c>
    </row>
    <row r="13" spans="1:2" s="3104" customFormat="1">
      <c r="A13" s="3102" t="s">
        <v>3213</v>
      </c>
      <c r="B13" s="3103" t="str">
        <f>'预评函-1'!A18</f>
        <v>本次估价的“房地产价值”是指在正常市场情况下，在价值时点2017年8月12日，估价对象规划用途为住宅、办公、地下车库，土地取得方式为出让，出让国有建设用地使用权剩余土地使用年限为，假定未设立法定优先受偿款下的房地产市场价值。</v>
      </c>
    </row>
    <row r="14" spans="1:2" s="3104" customFormat="1">
      <c r="A14" s="3102" t="s">
        <v>3214</v>
      </c>
      <c r="B14" s="3103" t="str">
        <f>'预评函-1'!A19</f>
        <v>其中，“出让国有建设用地使用权价值”是指估价对象用途为住宅、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3215</v>
      </c>
      <c r="B15" s="310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3216</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3217</v>
      </c>
      <c r="B17" s="31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8" customFormat="1" ht="15" thickBot="1">
      <c r="A18" s="3105" t="s">
        <v>3218</v>
      </c>
      <c r="B18" s="3106" t="str">
        <f>'预评函-1'!A24</f>
        <v>本次评估采用的主估价方法为成本法和假设开发法。</v>
      </c>
    </row>
    <row r="19" spans="1:2" s="3101" customFormat="1" ht="15" thickTop="1">
      <c r="A19" s="3099" t="s">
        <v>3219</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3220</v>
      </c>
      <c r="B20" s="3103">
        <f ca="1">'预评函-2'!D5</f>
        <v>231937</v>
      </c>
    </row>
    <row r="21" spans="1:2" s="3104" customFormat="1">
      <c r="A21" s="3102" t="s">
        <v>3221</v>
      </c>
      <c r="B21" s="3103">
        <f ca="1">'预评函-2'!D7</f>
        <v>15996</v>
      </c>
    </row>
    <row r="22" spans="1:2" s="3104" customFormat="1">
      <c r="A22" s="3102" t="s">
        <v>3222</v>
      </c>
      <c r="B22" s="3103" t="str">
        <f ca="1">'预评函-2'!D6</f>
        <v>贰拾叁亿壹仟玖佰叁拾柒万元整</v>
      </c>
    </row>
    <row r="23" spans="1:2" s="3104" customFormat="1">
      <c r="A23" s="3102" t="s">
        <v>3284</v>
      </c>
      <c r="B23" s="3103" t="str">
        <f>'预评函-2'!B8</f>
        <v>2.估价师知悉的除抵押担保权以外的法定优先受偿款</v>
      </c>
    </row>
    <row r="24" spans="1:2" s="3104" customFormat="1">
      <c r="A24" s="3102" t="s">
        <v>3290</v>
      </c>
      <c r="B24" s="3103">
        <f>'预评函-2'!D8</f>
        <v>13304</v>
      </c>
    </row>
    <row r="25" spans="1:2" s="3104" customFormat="1">
      <c r="A25" s="3102" t="s">
        <v>3223</v>
      </c>
      <c r="B25" s="3103" t="str">
        <f>'预评函-2'!D9</f>
        <v>壹亿叁仟叁佰零肆万元整</v>
      </c>
    </row>
    <row r="26" spans="1:2" s="3104" customFormat="1">
      <c r="A26" s="3102" t="s">
        <v>3224</v>
      </c>
      <c r="B26" s="3103">
        <f>'预评函-2'!D10</f>
        <v>90000</v>
      </c>
    </row>
    <row r="27" spans="1:2" s="3104" customFormat="1">
      <c r="A27" s="3102" t="s">
        <v>3225</v>
      </c>
      <c r="B27" s="3103">
        <f>'预评函-2'!D11</f>
        <v>3763</v>
      </c>
    </row>
    <row r="28" spans="1:2" s="3104" customFormat="1">
      <c r="A28" s="3102" t="s">
        <v>3226</v>
      </c>
      <c r="B28" s="3103">
        <f>'预评函-2'!D12</f>
        <v>9541</v>
      </c>
    </row>
    <row r="29" spans="1:2" s="3104" customFormat="1">
      <c r="A29" s="3102" t="s">
        <v>3288</v>
      </c>
      <c r="B29" s="3103" t="str">
        <f>'预评函-2'!B13</f>
        <v>3.房地产抵押价值</v>
      </c>
    </row>
    <row r="30" spans="1:2" s="3104" customFormat="1">
      <c r="A30" s="3102" t="s">
        <v>3289</v>
      </c>
      <c r="B30" s="3103">
        <f ca="1">'预评函-2'!D13</f>
        <v>218633</v>
      </c>
    </row>
    <row r="31" spans="1:2" s="3104" customFormat="1">
      <c r="A31" s="3102" t="s">
        <v>3261</v>
      </c>
      <c r="B31" s="3103">
        <f ca="1">'预评函-2'!D15</f>
        <v>15079</v>
      </c>
    </row>
    <row r="32" spans="1:2" s="3104" customFormat="1">
      <c r="A32" s="3102" t="s">
        <v>3227</v>
      </c>
      <c r="B32" s="3103" t="str">
        <f ca="1">'预评函-2'!D14</f>
        <v>贰拾壹亿捌仟陆佰叁拾叁万元整</v>
      </c>
    </row>
    <row r="33" spans="1:2" s="3104" customFormat="1">
      <c r="A33" s="3102" t="s">
        <v>3263</v>
      </c>
      <c r="B33" s="3103" t="str">
        <f>'预评函-2'!B16</f>
        <v>4.抵押担保权已注销时的房地产抵押价值</v>
      </c>
    </row>
    <row r="34" spans="1:2" s="3104" customFormat="1">
      <c r="A34" s="3102" t="s">
        <v>3291</v>
      </c>
      <c r="B34" s="3103">
        <f ca="1">'预评函-2'!D16</f>
        <v>218633</v>
      </c>
    </row>
    <row r="35" spans="1:2" s="3104" customFormat="1">
      <c r="A35" s="3102" t="s">
        <v>3262</v>
      </c>
      <c r="B35" s="3103">
        <f ca="1">'预评函-2'!D18</f>
        <v>15079</v>
      </c>
    </row>
    <row r="36" spans="1:2" s="3104" customFormat="1">
      <c r="A36" s="3102" t="s">
        <v>3228</v>
      </c>
      <c r="B36" s="3103" t="str">
        <f ca="1">'预评函-2'!D17</f>
        <v>贰拾壹亿捌仟陆佰叁拾叁万元整</v>
      </c>
    </row>
    <row r="37" spans="1:2" s="3104" customFormat="1">
      <c r="A37" s="3102" t="s">
        <v>3264</v>
      </c>
      <c r="B37" s="3103" t="str">
        <f>'预评函-2'!B19</f>
        <v>5.抵押净值</v>
      </c>
    </row>
    <row r="38" spans="1:2" s="3104" customFormat="1">
      <c r="A38" s="3102" t="s">
        <v>3292</v>
      </c>
      <c r="B38" s="3103">
        <f ca="1">'预评函-2'!D19</f>
        <v>87241</v>
      </c>
    </row>
    <row r="39" spans="1:2" s="3104" customFormat="1">
      <c r="A39" s="3102" t="s">
        <v>3229</v>
      </c>
      <c r="B39" s="3103">
        <f ca="1">'预评函-2'!D21</f>
        <v>6017</v>
      </c>
    </row>
    <row r="40" spans="1:2" s="3104" customFormat="1">
      <c r="A40" s="3102" t="s">
        <v>3230</v>
      </c>
      <c r="B40" s="3103" t="str">
        <f ca="1">'预评函-2'!D20</f>
        <v>捌亿柒仟贰佰肆拾壹万元整</v>
      </c>
    </row>
    <row r="41" spans="1:2" s="3104" customFormat="1">
      <c r="A41" s="3102" t="s">
        <v>3287</v>
      </c>
      <c r="B41" s="3103" t="str">
        <f>'预评函-3'!A4</f>
        <v>河南省郑州市金水区红旗路北、经七路东出让国有建设用地使用权及在建建筑物房地产</v>
      </c>
    </row>
    <row r="42" spans="1:2" s="3104" customFormat="1">
      <c r="A42" s="3102" t="s">
        <v>3285</v>
      </c>
      <c r="B42" s="3103" t="str">
        <f>'预评函-3'!B2</f>
        <v>建筑面积</v>
      </c>
    </row>
    <row r="43" spans="1:2" s="3104" customFormat="1">
      <c r="A43" s="3102" t="s">
        <v>3286</v>
      </c>
      <c r="B43" s="3103">
        <f>'预评函-3'!B4</f>
        <v>144992.93</v>
      </c>
    </row>
    <row r="44" spans="1:2" s="3104" customFormat="1">
      <c r="A44" s="3102" t="s">
        <v>3260</v>
      </c>
      <c r="B44" s="3103" t="str">
        <f>'预评函-3'!C2</f>
        <v>(分摊)土地面积</v>
      </c>
    </row>
    <row r="45" spans="1:2" s="3104" customFormat="1">
      <c r="A45" s="3102" t="s">
        <v>3231</v>
      </c>
      <c r="B45" s="3103">
        <f>'预评函-3'!C4</f>
        <v>24814.06</v>
      </c>
    </row>
    <row r="46" spans="1:2" s="3104" customFormat="1">
      <c r="A46" s="3102" t="s">
        <v>3258</v>
      </c>
      <c r="B46" s="3103" t="str">
        <f>'预评函-3'!D2</f>
        <v>出让国有建设用地使用权价值</v>
      </c>
    </row>
    <row r="47" spans="1:2" s="3104" customFormat="1">
      <c r="A47" s="3102" t="s">
        <v>3232</v>
      </c>
      <c r="B47" s="3103">
        <f ca="1">'预评函-3'!D4</f>
        <v>187869</v>
      </c>
    </row>
    <row r="48" spans="1:2" s="3104" customFormat="1">
      <c r="A48" s="3102" t="s">
        <v>3233</v>
      </c>
      <c r="B48" s="3103">
        <f ca="1">'预评函-3'!E4</f>
        <v>12957</v>
      </c>
    </row>
    <row r="49" spans="1:2" s="3104" customFormat="1">
      <c r="A49" s="3102" t="s">
        <v>3234</v>
      </c>
      <c r="B49" s="3103" t="str">
        <f ca="1">'预评函-3'!D5</f>
        <v>壹拾捌亿柒仟捌佰陆拾玖万元整</v>
      </c>
    </row>
    <row r="50" spans="1:2" s="3104" customFormat="1">
      <c r="A50" s="3102" t="s">
        <v>3259</v>
      </c>
      <c r="B50" s="3103" t="str">
        <f>'预评函-3'!F2</f>
        <v>在建建筑物价值</v>
      </c>
    </row>
    <row r="51" spans="1:2" s="3104" customFormat="1">
      <c r="A51" s="3102" t="s">
        <v>3235</v>
      </c>
      <c r="B51" s="3103">
        <f ca="1">'预评函-3'!F4</f>
        <v>44068</v>
      </c>
    </row>
    <row r="52" spans="1:2" s="3104" customFormat="1">
      <c r="A52" s="3102" t="s">
        <v>3236</v>
      </c>
      <c r="B52" s="3103">
        <f ca="1">'预评函-3'!G4</f>
        <v>3039</v>
      </c>
    </row>
    <row r="53" spans="1:2" s="3104" customFormat="1">
      <c r="A53" s="3102" t="s">
        <v>3265</v>
      </c>
      <c r="B53" s="3103" t="str">
        <f ca="1">'预评函-3'!F5</f>
        <v>肆亿肆仟零陆拾捌万元整</v>
      </c>
    </row>
    <row r="54" spans="1:2" s="3104" customFormat="1">
      <c r="A54" s="3102" t="s">
        <v>3294</v>
      </c>
      <c r="B54" s="3103" t="str">
        <f>'预评函-3'!A8</f>
        <v>房地产抵押价值</v>
      </c>
    </row>
    <row r="55" spans="1:2" s="3104" customFormat="1">
      <c r="A55" s="3102" t="s">
        <v>3266</v>
      </c>
      <c r="B55" s="3103" t="str">
        <f>'预评函-3'!A10</f>
        <v>抵押担保权已注销时的房地产抵押价值</v>
      </c>
    </row>
    <row r="56" spans="1:2" s="3104" customFormat="1">
      <c r="A56" s="3102" t="s">
        <v>3267</v>
      </c>
      <c r="B56" s="3103" t="str">
        <f>'预评函-3'!A12</f>
        <v>抵押净值</v>
      </c>
    </row>
    <row r="57" spans="1:2" s="3098" customFormat="1" ht="15" thickBot="1">
      <c r="A57" s="3105" t="s">
        <v>3295</v>
      </c>
      <c r="B57" s="3106" t="str">
        <f>'预评函-3'!A6</f>
        <v>估价师知悉的除抵押担保权以外的法定优先受偿款</v>
      </c>
    </row>
    <row r="58" spans="1:2" s="3101" customFormat="1" ht="15" thickTop="1">
      <c r="A58" s="3099" t="s">
        <v>3237</v>
      </c>
      <c r="B58" s="3100" t="str">
        <f>'预评函-4'!A12</f>
        <v>2.本《评估意见函》仅供金融机构进行内部审核使用，不做其他目的之用。</v>
      </c>
    </row>
    <row r="59" spans="1:2" s="3104" customFormat="1">
      <c r="A59" s="3102" t="s">
        <v>3238</v>
      </c>
      <c r="B59" s="3103" t="str">
        <f>'预评函-4'!A13</f>
        <v>3.抵押双方在办理抵押登记手续时，应使用本公司出具的正式《房地产评估报告》，特提醒报告使用者注意。</v>
      </c>
    </row>
    <row r="60" spans="1:2" s="3104" customFormat="1">
      <c r="A60" s="3102" t="s">
        <v>3239</v>
      </c>
      <c r="B60" s="3103" t="str">
        <f>'预评函-4'!A14</f>
        <v>4.本次评估估价师所知悉的法定优先受偿款情况说明如下：</v>
      </c>
    </row>
    <row r="61" spans="1:2" s="3104" customFormat="1">
      <c r="A61" s="3102" t="s">
        <v>3240</v>
      </c>
      <c r="B61" s="3103"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104" customFormat="1">
      <c r="A62" s="3102" t="s">
        <v>3241</v>
      </c>
      <c r="B62" s="3103" t="str">
        <f>'预评函-4'!A16</f>
        <v>（2）根据《工程款支付情况说明》，截至价值时点，估价对象不存在应付未付工程款项。（只要没有施工方盖章的，均“设定”进行表述）</v>
      </c>
    </row>
    <row r="63" spans="1:2" s="3104" customFormat="1">
      <c r="A63" s="3102" t="s">
        <v>3242</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3254</v>
      </c>
      <c r="B64" s="3103" t="str">
        <f>'预评函-4'!A18</f>
        <v>故，本次评估估价师知悉的除抵押担保权以外的法定优先受偿款为人民币13304万元整。</v>
      </c>
    </row>
    <row r="65" spans="1:2" s="3104" customFormat="1">
      <c r="A65" s="3102" t="s">
        <v>3243</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3244</v>
      </c>
      <c r="B66" s="31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4" customFormat="1">
      <c r="A67" s="3102" t="s">
        <v>3255</v>
      </c>
      <c r="B67" s="31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4" customFormat="1">
      <c r="A68" s="3102" t="s">
        <v>3256</v>
      </c>
      <c r="B68" s="3103" t="str">
        <f>'预评函-4'!A22</f>
        <v>8.其他需特殊说明事项：无（注意调整序号）</v>
      </c>
    </row>
    <row r="69" spans="1:2" s="3098" customFormat="1" ht="15" thickBot="1">
      <c r="A69" s="3105" t="s">
        <v>3245</v>
      </c>
      <c r="B69" s="3107">
        <f>'预评函-4'!C31</f>
        <v>42551</v>
      </c>
    </row>
    <row r="70" spans="1:2" ht="15" thickTop="1">
      <c r="A70" s="3108" t="s">
        <v>3246</v>
      </c>
      <c r="B70" s="3109" t="str">
        <f>'预评函-4'!A4</f>
        <v>王鹏</v>
      </c>
    </row>
    <row r="71" spans="1:2">
      <c r="A71" s="3102" t="s">
        <v>3247</v>
      </c>
      <c r="B71" s="3103">
        <f ca="1">'预评函-4'!B4</f>
        <v>1120050019</v>
      </c>
    </row>
    <row r="72" spans="1:2">
      <c r="A72" s="3102" t="s">
        <v>3248</v>
      </c>
      <c r="B72" s="3111" t="str">
        <f>'预评函-4'!A5</f>
        <v>郑燚</v>
      </c>
    </row>
    <row r="73" spans="1:2" s="3098" customFormat="1" ht="15" thickBot="1">
      <c r="A73" s="3105" t="s">
        <v>3249</v>
      </c>
      <c r="B73" s="3106">
        <f ca="1">'预评函-4'!B5</f>
        <v>1120070131</v>
      </c>
    </row>
    <row r="74" spans="1:2" ht="15" thickTop="1">
      <c r="A74" s="3095" t="s">
        <v>3312</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zoomScale="80" zoomScaleNormal="80" workbookViewId="0">
      <selection activeCell="C2" sqref="C2"/>
    </sheetView>
  </sheetViews>
  <sheetFormatPr defaultRowHeight="13.5"/>
  <cols>
    <col min="2" max="2" width="12.5" customWidth="1"/>
    <col min="3" max="3" width="12.25" customWidth="1"/>
    <col min="4" max="4" width="17.875" customWidth="1"/>
    <col min="5" max="5" width="13.375" customWidth="1"/>
    <col min="8" max="8" width="11.875" customWidth="1"/>
    <col min="9" max="9" width="10.625" customWidth="1"/>
    <col min="11" max="11" width="1" customWidth="1"/>
    <col min="12" max="13" width="0" hidden="1" customWidth="1"/>
    <col min="17" max="17" width="12.25" customWidth="1"/>
    <col min="18" max="18" width="13" customWidth="1"/>
  </cols>
  <sheetData>
    <row r="1" spans="1:18">
      <c r="A1" s="3317" t="s">
        <v>3372</v>
      </c>
      <c r="B1" s="3317" t="s">
        <v>3400</v>
      </c>
      <c r="C1" s="3317" t="s">
        <v>3370</v>
      </c>
      <c r="D1" s="3317" t="s">
        <v>3373</v>
      </c>
      <c r="E1" s="3317" t="s">
        <v>3374</v>
      </c>
      <c r="F1" s="3318"/>
      <c r="G1" s="3318"/>
      <c r="H1" s="3318"/>
      <c r="I1" s="3318"/>
      <c r="J1" s="3318"/>
      <c r="N1" s="3317" t="s">
        <v>3372</v>
      </c>
      <c r="O1" s="3317" t="s">
        <v>3400</v>
      </c>
      <c r="P1" s="3317" t="s">
        <v>3370</v>
      </c>
      <c r="Q1" s="3317" t="s">
        <v>3373</v>
      </c>
      <c r="R1" s="3317" t="s">
        <v>3374</v>
      </c>
    </row>
    <row r="2" spans="1:18">
      <c r="A2" s="3317" t="s">
        <v>3371</v>
      </c>
      <c r="B2" s="3317"/>
      <c r="C2" s="3318">
        <v>87028.31</v>
      </c>
      <c r="D2" s="3318"/>
      <c r="E2" s="3318"/>
      <c r="F2" s="3318"/>
      <c r="G2" s="3318"/>
      <c r="H2" s="3318"/>
      <c r="I2" s="3318"/>
      <c r="J2" s="3318"/>
      <c r="N2" s="3300" t="s">
        <v>3438</v>
      </c>
      <c r="Q2">
        <f>260375.88-7953.42-183000</f>
        <v>69422.459999999992</v>
      </c>
    </row>
    <row r="3" spans="1:18">
      <c r="A3" s="3317" t="s">
        <v>3387</v>
      </c>
      <c r="B3" s="3317" t="s">
        <v>3402</v>
      </c>
      <c r="C3" s="3318"/>
      <c r="D3" s="3318">
        <v>62949.45</v>
      </c>
      <c r="E3" s="3318"/>
      <c r="F3" s="3318"/>
      <c r="G3" s="3318"/>
      <c r="H3" s="3318"/>
      <c r="I3" s="3318"/>
      <c r="J3" s="3318"/>
      <c r="N3" s="3300" t="s">
        <v>3412</v>
      </c>
      <c r="Q3">
        <v>7953.42</v>
      </c>
    </row>
    <row r="4" spans="1:18">
      <c r="A4" s="3317" t="s">
        <v>3388</v>
      </c>
      <c r="B4" s="3317" t="s">
        <v>3402</v>
      </c>
      <c r="C4" s="3318"/>
      <c r="D4" s="3318">
        <v>56522.68</v>
      </c>
      <c r="E4" s="3318"/>
      <c r="F4" s="3318"/>
      <c r="G4" s="3318"/>
      <c r="H4" s="3318"/>
      <c r="I4" s="3318"/>
      <c r="J4" s="3318"/>
      <c r="N4" s="3321" t="s">
        <v>3429</v>
      </c>
      <c r="Q4">
        <v>131553.93</v>
      </c>
    </row>
    <row r="5" spans="1:18">
      <c r="A5" s="3317" t="s">
        <v>3386</v>
      </c>
      <c r="B5" s="3317" t="s">
        <v>3401</v>
      </c>
      <c r="C5" s="3318"/>
      <c r="D5" s="3318">
        <v>34009.230000000003</v>
      </c>
      <c r="E5" s="3318"/>
      <c r="F5" s="3318"/>
      <c r="G5" s="3318"/>
      <c r="H5" s="3318"/>
      <c r="I5" s="3318"/>
      <c r="J5" s="3318"/>
      <c r="N5" s="3321" t="s">
        <v>3402</v>
      </c>
      <c r="Q5">
        <v>119472.13</v>
      </c>
    </row>
    <row r="6" spans="1:18">
      <c r="A6" s="3317" t="s">
        <v>3389</v>
      </c>
      <c r="B6" s="3317" t="s">
        <v>3401</v>
      </c>
      <c r="C6" s="3318"/>
      <c r="D6" s="3317">
        <f>13767.7-7953.42</f>
        <v>5814.2800000000007</v>
      </c>
      <c r="E6" s="3318"/>
      <c r="F6" s="3318"/>
      <c r="G6" s="3318"/>
      <c r="H6" s="3318"/>
      <c r="I6" s="3318"/>
      <c r="J6" s="3318"/>
      <c r="N6" s="3321" t="s">
        <v>3430</v>
      </c>
      <c r="R6" s="3341">
        <f>227445.27-22856.79</f>
        <v>204588.47999999998</v>
      </c>
    </row>
    <row r="7" spans="1:18">
      <c r="A7" s="3317" t="s">
        <v>3390</v>
      </c>
      <c r="B7" s="3317" t="s">
        <v>3401</v>
      </c>
      <c r="C7" s="3318"/>
      <c r="D7" s="3317">
        <v>20813.240000000002</v>
      </c>
      <c r="E7" s="3318"/>
      <c r="F7" s="3318"/>
      <c r="G7" s="3318"/>
      <c r="H7" s="3318"/>
      <c r="I7" s="3318"/>
      <c r="J7" s="3318"/>
      <c r="N7" s="3321" t="s">
        <v>3431</v>
      </c>
      <c r="R7" s="3341">
        <f>22856.79+192.48+1100.92+22716.64+20619.02</f>
        <v>67485.850000000006</v>
      </c>
    </row>
    <row r="8" spans="1:18">
      <c r="A8" s="3317" t="s">
        <v>3391</v>
      </c>
      <c r="B8" s="3317" t="s">
        <v>3401</v>
      </c>
      <c r="C8" s="3318"/>
      <c r="D8" s="3317">
        <v>32034.9</v>
      </c>
      <c r="E8" s="3318"/>
      <c r="F8" s="3318"/>
      <c r="G8" s="3318"/>
      <c r="H8" s="3318"/>
      <c r="I8" s="3318">
        <v>227445.27</v>
      </c>
      <c r="J8" s="3318"/>
      <c r="N8" s="3321" t="s">
        <v>3439</v>
      </c>
      <c r="Q8">
        <v>183000</v>
      </c>
    </row>
    <row r="9" spans="1:18">
      <c r="A9" s="3317" t="s">
        <v>3392</v>
      </c>
      <c r="B9" s="3317" t="s">
        <v>3401</v>
      </c>
      <c r="C9" s="3318"/>
      <c r="D9" s="3317">
        <f>40039.38-3092.91</f>
        <v>36946.47</v>
      </c>
      <c r="E9" s="3318"/>
      <c r="F9" s="3317"/>
      <c r="G9" s="3318"/>
      <c r="H9" s="3318"/>
      <c r="I9" s="3318">
        <v>272074.33</v>
      </c>
      <c r="J9" s="3318"/>
    </row>
    <row r="10" spans="1:18">
      <c r="A10" s="3317" t="s">
        <v>3393</v>
      </c>
      <c r="B10" s="3317" t="s">
        <v>3401</v>
      </c>
      <c r="C10" s="3318"/>
      <c r="D10" s="3317">
        <f>40377.19-3101.38</f>
        <v>37275.810000000005</v>
      </c>
      <c r="E10" s="3318"/>
      <c r="F10" s="3317"/>
      <c r="G10" s="3318"/>
      <c r="H10" s="3318"/>
      <c r="I10" s="3318"/>
      <c r="J10" s="3318"/>
    </row>
    <row r="11" spans="1:18">
      <c r="A11" s="3317" t="s">
        <v>3394</v>
      </c>
      <c r="B11" s="3317" t="s">
        <v>3401</v>
      </c>
      <c r="C11" s="3318"/>
      <c r="D11" s="3317">
        <v>38051.279999999999</v>
      </c>
      <c r="E11" s="3318"/>
      <c r="F11" s="3317"/>
      <c r="G11" s="3318"/>
      <c r="H11" s="3318"/>
      <c r="I11" s="3318"/>
      <c r="J11" s="3318"/>
    </row>
    <row r="12" spans="1:18">
      <c r="A12" s="3317" t="s">
        <v>3395</v>
      </c>
      <c r="B12" s="3317" t="s">
        <v>3401</v>
      </c>
      <c r="C12" s="3318"/>
      <c r="D12" s="3317">
        <v>23750.14</v>
      </c>
      <c r="E12" s="3318"/>
      <c r="F12" s="3318"/>
      <c r="G12" s="3318"/>
      <c r="H12" s="3318"/>
      <c r="I12" s="3318"/>
      <c r="J12" s="3318"/>
    </row>
    <row r="13" spans="1:18">
      <c r="A13" s="3317" t="s">
        <v>3396</v>
      </c>
      <c r="B13" s="3317" t="s">
        <v>3401</v>
      </c>
      <c r="C13" s="3318"/>
      <c r="D13" s="3317">
        <v>23751.78</v>
      </c>
      <c r="E13" s="3318"/>
      <c r="F13" s="3318"/>
      <c r="G13" s="3318"/>
      <c r="H13" s="3318"/>
      <c r="I13" s="3318"/>
      <c r="J13" s="3318"/>
    </row>
    <row r="14" spans="1:18">
      <c r="A14" s="3317" t="s">
        <v>3412</v>
      </c>
      <c r="B14" s="3318"/>
      <c r="C14" s="3318"/>
      <c r="D14" s="3317">
        <v>7953.42</v>
      </c>
      <c r="E14" s="3318"/>
      <c r="F14" s="3318"/>
      <c r="G14" s="3318"/>
      <c r="H14" s="3318"/>
      <c r="I14" s="3318"/>
      <c r="J14" s="3318"/>
      <c r="N14" s="3300" t="s">
        <v>3472</v>
      </c>
    </row>
    <row r="15" spans="1:18">
      <c r="A15" s="3317" t="s">
        <v>3397</v>
      </c>
      <c r="B15" s="3317"/>
      <c r="C15" s="3318"/>
      <c r="D15" s="3317">
        <v>2433.1</v>
      </c>
      <c r="E15" s="3318"/>
      <c r="F15" s="3318"/>
      <c r="G15" s="3318"/>
      <c r="H15" s="3318"/>
      <c r="I15" s="3318"/>
      <c r="J15" s="3318"/>
      <c r="N15" s="3300"/>
      <c r="O15" s="3300" t="s">
        <v>3479</v>
      </c>
      <c r="P15" s="3300" t="s">
        <v>3480</v>
      </c>
    </row>
    <row r="16" spans="1:18">
      <c r="A16" s="3317" t="s">
        <v>3398</v>
      </c>
      <c r="B16" s="3317" t="s">
        <v>3398</v>
      </c>
      <c r="C16" s="3318"/>
      <c r="D16" s="3317">
        <v>131553.93</v>
      </c>
      <c r="E16" s="3318"/>
      <c r="F16" s="3318"/>
      <c r="G16" s="3318"/>
      <c r="H16" s="3318"/>
      <c r="I16" s="3317" t="s">
        <v>3407</v>
      </c>
      <c r="J16" s="3319" t="s">
        <v>3411</v>
      </c>
      <c r="N16" s="3300" t="s">
        <v>3473</v>
      </c>
    </row>
    <row r="17" spans="1:14">
      <c r="A17" s="3317" t="s">
        <v>3399</v>
      </c>
      <c r="B17" s="3317" t="s">
        <v>3403</v>
      </c>
      <c r="C17" s="3318"/>
      <c r="D17" s="3318"/>
      <c r="E17" s="3318">
        <f>227445.27-22856.79</f>
        <v>204588.47999999998</v>
      </c>
      <c r="F17" s="3317" t="s">
        <v>3432</v>
      </c>
      <c r="G17" s="3318"/>
      <c r="H17" s="3319" t="s">
        <v>3405</v>
      </c>
      <c r="I17" s="3320">
        <v>125359.64</v>
      </c>
      <c r="J17" s="3319" t="s">
        <v>3406</v>
      </c>
      <c r="N17" s="3300" t="s">
        <v>3474</v>
      </c>
    </row>
    <row r="18" spans="1:14">
      <c r="A18" s="3317" t="s">
        <v>3404</v>
      </c>
      <c r="B18" s="3318"/>
      <c r="C18" s="3318"/>
      <c r="D18" s="3318"/>
      <c r="E18" s="3318"/>
      <c r="F18" s="3318"/>
      <c r="G18" s="3318"/>
      <c r="H18" s="3319" t="s">
        <v>3408</v>
      </c>
      <c r="I18" s="3320">
        <v>3092.91</v>
      </c>
      <c r="J18" s="3319" t="s">
        <v>3410</v>
      </c>
      <c r="N18" s="3300" t="s">
        <v>3475</v>
      </c>
    </row>
    <row r="19" spans="1:14">
      <c r="A19" s="3317"/>
      <c r="B19" s="3317" t="s">
        <v>3423</v>
      </c>
      <c r="C19" s="3318"/>
      <c r="D19" s="3318"/>
      <c r="E19" s="3318"/>
      <c r="F19" s="3318"/>
      <c r="G19" s="3318"/>
      <c r="H19" s="3319" t="s">
        <v>3409</v>
      </c>
      <c r="I19" s="3320">
        <v>3101.38</v>
      </c>
      <c r="J19" s="3319" t="s">
        <v>3410</v>
      </c>
      <c r="N19" s="3300" t="s">
        <v>3476</v>
      </c>
    </row>
    <row r="20" spans="1:14">
      <c r="A20" s="3318"/>
      <c r="B20" s="3317" t="s">
        <v>3413</v>
      </c>
      <c r="C20" s="3318"/>
      <c r="D20" s="3338">
        <v>2097.56</v>
      </c>
      <c r="E20" s="3318"/>
      <c r="F20" s="3318"/>
      <c r="G20" s="3318"/>
      <c r="H20" s="3318"/>
      <c r="I20" s="3318"/>
      <c r="J20" s="3318"/>
      <c r="N20" s="3300" t="s">
        <v>3477</v>
      </c>
    </row>
    <row r="21" spans="1:14">
      <c r="A21" s="3318"/>
      <c r="B21" s="3317" t="s">
        <v>3414</v>
      </c>
      <c r="C21" s="3318"/>
      <c r="D21" s="3338">
        <v>324.39999999999998</v>
      </c>
      <c r="E21" s="3318"/>
      <c r="F21" s="3318"/>
      <c r="G21" s="3318"/>
      <c r="H21" s="3318"/>
      <c r="I21" s="3318"/>
      <c r="J21" s="3318"/>
      <c r="N21" s="3300" t="s">
        <v>3478</v>
      </c>
    </row>
    <row r="22" spans="1:14">
      <c r="A22" s="3318"/>
      <c r="B22" s="3317" t="s">
        <v>3415</v>
      </c>
      <c r="C22" s="3318"/>
      <c r="D22" s="3338">
        <v>617.02</v>
      </c>
      <c r="E22" s="3318"/>
      <c r="F22" s="3318"/>
      <c r="G22" s="3318"/>
      <c r="H22" s="3318"/>
      <c r="I22" s="3318"/>
      <c r="J22" s="3318"/>
    </row>
    <row r="23" spans="1:14">
      <c r="A23" s="3318"/>
      <c r="B23" s="3317" t="s">
        <v>3416</v>
      </c>
      <c r="C23" s="3318"/>
      <c r="D23" s="3338">
        <v>253.24</v>
      </c>
      <c r="E23" s="3318"/>
      <c r="F23" s="3318"/>
      <c r="G23" s="3318"/>
      <c r="H23" s="3318"/>
      <c r="I23" s="3318"/>
      <c r="J23" s="3318"/>
    </row>
    <row r="24" spans="1:14">
      <c r="A24" s="3318"/>
      <c r="B24" s="3317" t="s">
        <v>3417</v>
      </c>
      <c r="C24" s="3318"/>
      <c r="D24" s="3338">
        <v>42.81</v>
      </c>
      <c r="E24" s="3318"/>
      <c r="F24" s="3318"/>
      <c r="G24" s="3318"/>
      <c r="H24" s="3318"/>
      <c r="I24" s="3318"/>
      <c r="J24" s="3318"/>
    </row>
    <row r="25" spans="1:14">
      <c r="A25" s="3318"/>
      <c r="B25" s="3317" t="s">
        <v>3418</v>
      </c>
      <c r="C25" s="3318"/>
      <c r="D25" s="3338">
        <v>1042.42</v>
      </c>
      <c r="E25" s="3318"/>
      <c r="F25" s="3318"/>
      <c r="G25" s="3318"/>
      <c r="H25" s="3318"/>
      <c r="I25" s="3318"/>
      <c r="J25" s="3318"/>
    </row>
    <row r="26" spans="1:14">
      <c r="A26" s="3318"/>
      <c r="B26" s="3317" t="s">
        <v>3419</v>
      </c>
      <c r="C26" s="3318"/>
      <c r="D26" s="3338">
        <v>158.99</v>
      </c>
      <c r="E26" s="3318"/>
      <c r="F26" s="3318"/>
      <c r="G26" s="3318"/>
      <c r="H26" s="3318"/>
      <c r="I26" s="3318"/>
      <c r="J26" s="3318"/>
    </row>
    <row r="27" spans="1:14">
      <c r="A27" s="3318"/>
      <c r="B27" s="3317" t="s">
        <v>3420</v>
      </c>
      <c r="C27" s="3318"/>
      <c r="D27" s="3338">
        <v>87.26</v>
      </c>
      <c r="E27" s="3318"/>
      <c r="F27" s="3318"/>
      <c r="G27" s="3318"/>
      <c r="H27" s="3318"/>
      <c r="I27" s="3318"/>
      <c r="J27" s="3318"/>
    </row>
    <row r="28" spans="1:14">
      <c r="A28" s="3318"/>
      <c r="B28" s="3317" t="s">
        <v>3421</v>
      </c>
      <c r="C28" s="3318"/>
      <c r="D28" s="3338">
        <v>133.28</v>
      </c>
      <c r="E28" s="3318"/>
      <c r="F28" s="3318"/>
      <c r="G28" s="3318"/>
      <c r="H28" s="3318"/>
      <c r="I28" s="3318"/>
      <c r="J28" s="3318"/>
    </row>
    <row r="29" spans="1:14">
      <c r="A29" s="3318"/>
      <c r="B29" s="3317" t="s">
        <v>3422</v>
      </c>
      <c r="C29" s="3318"/>
      <c r="D29" s="3338">
        <v>76.72</v>
      </c>
      <c r="E29" s="3318"/>
      <c r="F29" s="3318"/>
      <c r="G29" s="3318"/>
      <c r="H29" s="3318"/>
      <c r="I29" s="3318"/>
      <c r="J29" s="3318"/>
    </row>
    <row r="30" spans="1:14">
      <c r="A30" s="3318"/>
      <c r="B30" s="3317" t="s">
        <v>3471</v>
      </c>
      <c r="C30" s="3318"/>
      <c r="D30" s="3338">
        <v>102</v>
      </c>
      <c r="E30" s="3318"/>
      <c r="F30" s="3318"/>
      <c r="G30" s="3318"/>
      <c r="H30" s="3318"/>
      <c r="I30" s="3318"/>
      <c r="J30" s="3318"/>
    </row>
    <row r="31" spans="1:14">
      <c r="A31" s="3318"/>
      <c r="B31" s="3317" t="s">
        <v>3424</v>
      </c>
      <c r="C31" s="3318"/>
      <c r="D31" s="3318"/>
      <c r="E31" s="3318">
        <v>22856.79</v>
      </c>
      <c r="F31" s="3318"/>
      <c r="G31" s="3318"/>
      <c r="H31" s="3318"/>
      <c r="I31" s="3318"/>
      <c r="J31" s="3318"/>
    </row>
    <row r="32" spans="1:14">
      <c r="A32" s="3318"/>
      <c r="B32" s="3317" t="s">
        <v>3425</v>
      </c>
      <c r="C32" s="3318"/>
      <c r="D32" s="3318"/>
      <c r="E32" s="3318">
        <v>22716.639999999999</v>
      </c>
      <c r="F32" s="3318"/>
      <c r="G32" s="3318"/>
      <c r="H32" s="3318"/>
      <c r="I32" s="3318"/>
      <c r="J32" s="3318"/>
    </row>
    <row r="33" spans="1:10">
      <c r="A33" s="3318"/>
      <c r="B33" s="3317" t="s">
        <v>3426</v>
      </c>
      <c r="C33" s="3318"/>
      <c r="D33" s="3318"/>
      <c r="E33" s="3318">
        <v>1100.92</v>
      </c>
      <c r="F33" s="3318"/>
      <c r="G33" s="3318"/>
      <c r="H33" s="3318"/>
      <c r="I33" s="3318"/>
      <c r="J33" s="3318"/>
    </row>
    <row r="34" spans="1:10">
      <c r="A34" s="3318"/>
      <c r="B34" s="3317" t="s">
        <v>3427</v>
      </c>
      <c r="C34" s="3318"/>
      <c r="E34" s="3318">
        <v>192.48</v>
      </c>
      <c r="F34" s="3318"/>
      <c r="G34" s="3318"/>
      <c r="H34" s="3318"/>
      <c r="I34" s="3318"/>
      <c r="J34" s="3318"/>
    </row>
    <row r="35" spans="1:10">
      <c r="A35" s="3318"/>
      <c r="B35" s="3317" t="s">
        <v>3428</v>
      </c>
      <c r="C35" s="3318"/>
      <c r="D35" s="3318"/>
      <c r="E35" s="3318">
        <v>20619.02</v>
      </c>
      <c r="F35" s="3318"/>
      <c r="G35" s="3318"/>
      <c r="H35" s="3318"/>
      <c r="I35" s="3318"/>
      <c r="J35" s="3318"/>
    </row>
    <row r="38" spans="1:10">
      <c r="A38" s="3334" t="s">
        <v>3445</v>
      </c>
    </row>
    <row r="39" spans="1:10">
      <c r="A39" s="3300"/>
      <c r="H39" s="3300" t="s">
        <v>3468</v>
      </c>
    </row>
    <row r="40" spans="1:10">
      <c r="A40" s="3317" t="s">
        <v>3372</v>
      </c>
      <c r="B40" s="3317" t="s">
        <v>3400</v>
      </c>
      <c r="C40" s="3317" t="s">
        <v>3370</v>
      </c>
      <c r="D40" s="3317" t="s">
        <v>3373</v>
      </c>
      <c r="E40" s="3317" t="s">
        <v>3374</v>
      </c>
      <c r="H40" s="3300" t="s">
        <v>3470</v>
      </c>
    </row>
    <row r="41" spans="1:10">
      <c r="A41" s="3317" t="s">
        <v>3371</v>
      </c>
      <c r="B41" s="3317"/>
      <c r="C41" s="3340">
        <v>87028.31</v>
      </c>
      <c r="D41" s="3318"/>
      <c r="E41" s="3318"/>
      <c r="H41" s="3300" t="s">
        <v>3469</v>
      </c>
    </row>
    <row r="42" spans="1:10">
      <c r="A42" s="3317" t="s">
        <v>3387</v>
      </c>
      <c r="B42" s="3317" t="s">
        <v>3402</v>
      </c>
      <c r="C42" s="3318"/>
      <c r="D42" s="3337">
        <v>61354.65</v>
      </c>
      <c r="E42" s="3318"/>
    </row>
    <row r="43" spans="1:10">
      <c r="A43" s="3317" t="s">
        <v>3388</v>
      </c>
      <c r="B43" s="3317" t="s">
        <v>3402</v>
      </c>
      <c r="C43" s="3318"/>
      <c r="D43" s="3337">
        <v>56546.37</v>
      </c>
      <c r="E43" s="3318"/>
    </row>
    <row r="44" spans="1:10">
      <c r="A44" s="3317" t="s">
        <v>3386</v>
      </c>
      <c r="B44" s="3317" t="s">
        <v>3401</v>
      </c>
      <c r="C44" s="3318"/>
      <c r="D44" s="3337">
        <v>34059.230000000003</v>
      </c>
      <c r="E44" s="3318"/>
    </row>
    <row r="45" spans="1:10">
      <c r="A45" s="3317" t="s">
        <v>3389</v>
      </c>
      <c r="B45" s="3317" t="s">
        <v>3401</v>
      </c>
      <c r="C45" s="3318"/>
      <c r="D45" s="3337">
        <f>2646.96+2856.64</f>
        <v>5503.6</v>
      </c>
      <c r="E45" s="3318"/>
    </row>
    <row r="46" spans="1:10">
      <c r="A46" s="3317" t="s">
        <v>3390</v>
      </c>
      <c r="B46" s="3317" t="s">
        <v>3401</v>
      </c>
      <c r="C46" s="3318"/>
      <c r="D46" s="3337">
        <v>20242.439999999999</v>
      </c>
      <c r="E46" s="3318"/>
    </row>
    <row r="47" spans="1:10">
      <c r="A47" s="3317" t="s">
        <v>3391</v>
      </c>
      <c r="B47" s="3317" t="s">
        <v>3401</v>
      </c>
      <c r="C47" s="3318"/>
      <c r="D47" s="3337">
        <v>31936.68</v>
      </c>
      <c r="E47" s="3318"/>
    </row>
    <row r="48" spans="1:10">
      <c r="A48" s="3317" t="s">
        <v>3392</v>
      </c>
      <c r="B48" s="3317" t="s">
        <v>3401</v>
      </c>
      <c r="C48" s="3318"/>
      <c r="D48" s="3337">
        <v>35993.199999999997</v>
      </c>
      <c r="E48" s="3318"/>
    </row>
    <row r="49" spans="1:8">
      <c r="A49" s="3317" t="s">
        <v>3393</v>
      </c>
      <c r="B49" s="3317" t="s">
        <v>3401</v>
      </c>
      <c r="C49" s="3318"/>
      <c r="D49" s="3337">
        <v>35987.71</v>
      </c>
      <c r="E49" s="3318"/>
    </row>
    <row r="50" spans="1:8">
      <c r="A50" s="3317" t="s">
        <v>3394</v>
      </c>
      <c r="B50" s="3317" t="s">
        <v>3401</v>
      </c>
      <c r="C50" s="3318"/>
      <c r="D50" s="3337">
        <v>37709.49</v>
      </c>
      <c r="E50" s="3318"/>
    </row>
    <row r="51" spans="1:8">
      <c r="A51" s="3317" t="s">
        <v>3395</v>
      </c>
      <c r="B51" s="3317" t="s">
        <v>3401</v>
      </c>
      <c r="C51" s="3318"/>
      <c r="D51" s="3337">
        <v>23588.25</v>
      </c>
      <c r="E51" s="3318"/>
    </row>
    <row r="52" spans="1:8">
      <c r="A52" s="3317" t="s">
        <v>3396</v>
      </c>
      <c r="B52" s="3317" t="s">
        <v>3401</v>
      </c>
      <c r="C52" s="3318"/>
      <c r="D52" s="3337">
        <v>23588.25</v>
      </c>
      <c r="E52" s="3318"/>
    </row>
    <row r="53" spans="1:8">
      <c r="A53" s="3317" t="s">
        <v>3412</v>
      </c>
      <c r="B53" s="3318"/>
      <c r="C53" s="3318"/>
      <c r="D53" s="3337">
        <v>8033.82</v>
      </c>
      <c r="E53" s="3318"/>
    </row>
    <row r="54" spans="1:8">
      <c r="A54" s="3317" t="s">
        <v>3397</v>
      </c>
      <c r="B54" s="3317"/>
      <c r="C54" s="3318"/>
      <c r="D54" s="3338">
        <v>2424.1</v>
      </c>
      <c r="E54" s="3318"/>
    </row>
    <row r="55" spans="1:8">
      <c r="C55" s="3300" t="s">
        <v>3447</v>
      </c>
      <c r="D55" s="3339">
        <f>SUM(D42:D43)</f>
        <v>117901.02</v>
      </c>
    </row>
    <row r="56" spans="1:8">
      <c r="C56" s="3300" t="s">
        <v>3446</v>
      </c>
      <c r="D56" s="3339">
        <f>SUM(D44:D52)</f>
        <v>248608.85</v>
      </c>
    </row>
    <row r="57" spans="1:8">
      <c r="C57" s="3300" t="s">
        <v>3448</v>
      </c>
      <c r="D57" s="3339">
        <v>183000</v>
      </c>
    </row>
    <row r="58" spans="1:8">
      <c r="C58" s="3321" t="s">
        <v>3449</v>
      </c>
      <c r="D58" s="3339">
        <f>D56-D57</f>
        <v>65608.850000000006</v>
      </c>
    </row>
    <row r="59" spans="1:8">
      <c r="C59" s="3321" t="s">
        <v>3455</v>
      </c>
      <c r="D59" s="3339">
        <f>3153.34+3167.72</f>
        <v>6321.0599999999995</v>
      </c>
    </row>
    <row r="61" spans="1:8">
      <c r="C61" s="3300" t="s">
        <v>3456</v>
      </c>
      <c r="D61">
        <f>Q4-D59</f>
        <v>125232.87</v>
      </c>
    </row>
    <row r="63" spans="1:8">
      <c r="B63" s="3465" t="s">
        <v>3487</v>
      </c>
      <c r="C63" s="3466"/>
      <c r="D63" s="3467"/>
      <c r="G63" s="3300" t="s">
        <v>3571</v>
      </c>
    </row>
    <row r="64" spans="1:8">
      <c r="B64" s="3319"/>
      <c r="C64" s="3319" t="s">
        <v>3479</v>
      </c>
      <c r="D64" s="3319" t="s">
        <v>3480</v>
      </c>
      <c r="G64" s="3317" t="s">
        <v>3572</v>
      </c>
      <c r="H64" s="3318">
        <v>183000</v>
      </c>
    </row>
    <row r="65" spans="2:8">
      <c r="B65" s="3319" t="s">
        <v>3473</v>
      </c>
      <c r="C65" s="3320">
        <f>D58</f>
        <v>65608.850000000006</v>
      </c>
      <c r="D65" s="3320">
        <v>0</v>
      </c>
      <c r="G65" s="3317" t="s">
        <v>3573</v>
      </c>
      <c r="H65" s="3318">
        <v>32500</v>
      </c>
    </row>
    <row r="66" spans="2:8">
      <c r="B66" s="3319" t="s">
        <v>3474</v>
      </c>
      <c r="C66" s="3320">
        <f>D53</f>
        <v>8033.82</v>
      </c>
      <c r="D66" s="3320">
        <v>0</v>
      </c>
      <c r="G66" s="3317" t="s">
        <v>3574</v>
      </c>
      <c r="H66" s="3318">
        <v>12338</v>
      </c>
    </row>
    <row r="67" spans="2:8">
      <c r="B67" s="3319" t="s">
        <v>3475</v>
      </c>
      <c r="C67" s="3320">
        <f>D57</f>
        <v>183000</v>
      </c>
      <c r="D67" s="3320">
        <v>0</v>
      </c>
      <c r="G67" s="3317" t="s">
        <v>3575</v>
      </c>
      <c r="H67" s="3318">
        <v>3370</v>
      </c>
    </row>
    <row r="68" spans="2:8">
      <c r="B68" s="3319" t="s">
        <v>3476</v>
      </c>
      <c r="C68" s="3320">
        <f>D55</f>
        <v>117901.02</v>
      </c>
      <c r="D68" s="3320">
        <v>0</v>
      </c>
      <c r="G68" s="3321" t="s">
        <v>3576</v>
      </c>
      <c r="H68">
        <f>H67+H66+H65+H64</f>
        <v>231208</v>
      </c>
    </row>
    <row r="69" spans="2:8">
      <c r="B69" s="3342" t="s">
        <v>3481</v>
      </c>
      <c r="C69" s="3320">
        <f>D59</f>
        <v>6321.0599999999995</v>
      </c>
      <c r="D69" s="3320">
        <v>0</v>
      </c>
    </row>
    <row r="70" spans="2:8">
      <c r="B70" s="3319" t="s">
        <v>3482</v>
      </c>
      <c r="C70" s="3320">
        <f>D61</f>
        <v>125232.87</v>
      </c>
      <c r="D70" s="3320">
        <v>0</v>
      </c>
    </row>
    <row r="71" spans="2:8">
      <c r="B71" s="3319" t="s">
        <v>3483</v>
      </c>
      <c r="C71" s="3320">
        <v>0</v>
      </c>
      <c r="D71" s="3320">
        <f>R6</f>
        <v>204588.47999999998</v>
      </c>
    </row>
    <row r="72" spans="2:8">
      <c r="B72" s="3342" t="s">
        <v>3484</v>
      </c>
      <c r="C72" s="3320">
        <f>SUM(D20:D30)+D54</f>
        <v>7359.8000000000011</v>
      </c>
      <c r="D72" s="3320">
        <v>0</v>
      </c>
    </row>
    <row r="73" spans="2:8">
      <c r="B73" s="3342" t="s">
        <v>3485</v>
      </c>
      <c r="C73" s="3320">
        <v>0</v>
      </c>
      <c r="D73" s="3320">
        <f>R7</f>
        <v>67485.850000000006</v>
      </c>
    </row>
    <row r="74" spans="2:8">
      <c r="B74" s="3342" t="s">
        <v>3486</v>
      </c>
      <c r="C74" s="3320">
        <f>SUM(C65:C73)</f>
        <v>513457.42</v>
      </c>
      <c r="D74" s="3320">
        <f>SUM(D65:D73)</f>
        <v>272074.32999999996</v>
      </c>
    </row>
  </sheetData>
  <mergeCells count="1">
    <mergeCell ref="B63:D63"/>
  </mergeCells>
  <phoneticPr fontId="20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757</v>
      </c>
      <c r="B1" s="295" t="s">
        <v>421</v>
      </c>
      <c r="C1" s="1791" t="s">
        <v>2228</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2197</v>
      </c>
      <c r="Q1" s="11" t="s">
        <v>3046</v>
      </c>
      <c r="R1" s="1508" t="s">
        <v>3036</v>
      </c>
      <c r="S1" s="296" t="s">
        <v>434</v>
      </c>
      <c r="T1" s="297" t="s">
        <v>435</v>
      </c>
      <c r="U1" s="296" t="s">
        <v>436</v>
      </c>
      <c r="V1" s="296" t="s">
        <v>437</v>
      </c>
      <c r="W1" s="1508" t="s">
        <v>2200</v>
      </c>
    </row>
    <row r="2" spans="1:23">
      <c r="A2" s="2837" t="s">
        <v>163</v>
      </c>
      <c r="B2" s="2837" t="s">
        <v>805</v>
      </c>
      <c r="C2" s="1792" t="s">
        <v>2229</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0" t="s">
        <v>3040</v>
      </c>
      <c r="S2" s="298" t="s">
        <v>396</v>
      </c>
      <c r="T2" s="298" t="s">
        <v>397</v>
      </c>
      <c r="U2" s="298" t="s">
        <v>396</v>
      </c>
      <c r="V2" s="298" t="s">
        <v>398</v>
      </c>
      <c r="W2" s="298" t="s">
        <v>396</v>
      </c>
    </row>
    <row r="3" spans="1:23">
      <c r="A3" s="2837" t="s">
        <v>804</v>
      </c>
      <c r="B3" s="2838" t="s">
        <v>3083</v>
      </c>
      <c r="C3" s="1793" t="s">
        <v>2230</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0" t="s">
        <v>3038</v>
      </c>
      <c r="S3" s="298" t="s">
        <v>404</v>
      </c>
      <c r="T3" s="298" t="s">
        <v>405</v>
      </c>
      <c r="U3" s="298" t="s">
        <v>404</v>
      </c>
      <c r="V3" s="298" t="s">
        <v>406</v>
      </c>
      <c r="W3" s="298" t="s">
        <v>404</v>
      </c>
    </row>
    <row r="4" spans="1:23">
      <c r="A4" s="2837" t="s">
        <v>806</v>
      </c>
      <c r="B4" s="2837" t="s">
        <v>807</v>
      </c>
      <c r="C4" s="1792" t="s">
        <v>2231</v>
      </c>
      <c r="D4" s="298" t="s">
        <v>2408</v>
      </c>
      <c r="E4" s="298" t="s">
        <v>443</v>
      </c>
      <c r="F4" s="298" t="s">
        <v>444</v>
      </c>
      <c r="G4" s="298">
        <v>70</v>
      </c>
      <c r="H4" s="298" t="s">
        <v>445</v>
      </c>
      <c r="I4" s="298" t="s">
        <v>446</v>
      </c>
      <c r="K4" s="298" t="s">
        <v>407</v>
      </c>
      <c r="L4" s="298" t="s">
        <v>407</v>
      </c>
      <c r="M4" s="298" t="s">
        <v>407</v>
      </c>
      <c r="N4" s="298" t="s">
        <v>407</v>
      </c>
      <c r="O4" s="298" t="s">
        <v>407</v>
      </c>
      <c r="P4" s="298" t="s">
        <v>407</v>
      </c>
      <c r="Q4" s="298" t="s">
        <v>407</v>
      </c>
      <c r="R4" s="2800" t="s">
        <v>3041</v>
      </c>
      <c r="S4" s="298" t="s">
        <v>407</v>
      </c>
      <c r="T4" s="298" t="s">
        <v>408</v>
      </c>
      <c r="U4" s="298" t="s">
        <v>407</v>
      </c>
      <c r="W4" s="298" t="s">
        <v>407</v>
      </c>
    </row>
    <row r="5" spans="1:23">
      <c r="A5" s="2837" t="s">
        <v>808</v>
      </c>
      <c r="B5" s="2837" t="s">
        <v>809</v>
      </c>
      <c r="C5" s="1792" t="s">
        <v>2232</v>
      </c>
      <c r="F5" s="298" t="s">
        <v>409</v>
      </c>
      <c r="H5" s="298" t="s">
        <v>410</v>
      </c>
      <c r="I5" s="298" t="s">
        <v>411</v>
      </c>
      <c r="K5" s="298" t="s">
        <v>412</v>
      </c>
      <c r="L5" s="298" t="s">
        <v>412</v>
      </c>
      <c r="M5" s="298" t="s">
        <v>412</v>
      </c>
      <c r="N5" s="298" t="s">
        <v>412</v>
      </c>
      <c r="O5" s="298" t="s">
        <v>412</v>
      </c>
      <c r="P5" s="298" t="s">
        <v>412</v>
      </c>
      <c r="Q5" s="298" t="s">
        <v>412</v>
      </c>
      <c r="R5" s="2800" t="s">
        <v>3042</v>
      </c>
      <c r="S5" s="298" t="s">
        <v>412</v>
      </c>
      <c r="T5" s="298" t="s">
        <v>413</v>
      </c>
      <c r="U5" s="298" t="s">
        <v>412</v>
      </c>
      <c r="W5" s="298" t="s">
        <v>412</v>
      </c>
    </row>
    <row r="6" spans="1:23">
      <c r="A6" s="2837" t="s">
        <v>810</v>
      </c>
      <c r="B6" s="2838" t="s">
        <v>3084</v>
      </c>
      <c r="C6" s="1794" t="s">
        <v>326</v>
      </c>
      <c r="F6" s="298" t="s">
        <v>414</v>
      </c>
      <c r="H6" s="298" t="s">
        <v>415</v>
      </c>
      <c r="I6" s="298" t="s">
        <v>416</v>
      </c>
      <c r="K6" s="298" t="s">
        <v>417</v>
      </c>
      <c r="L6" s="298" t="s">
        <v>417</v>
      </c>
      <c r="M6" s="298" t="s">
        <v>417</v>
      </c>
      <c r="N6" s="298" t="s">
        <v>417</v>
      </c>
      <c r="O6" s="298" t="s">
        <v>417</v>
      </c>
      <c r="P6" s="298" t="s">
        <v>417</v>
      </c>
      <c r="Q6" s="298" t="s">
        <v>417</v>
      </c>
      <c r="R6" s="2800" t="s">
        <v>3043</v>
      </c>
      <c r="S6" s="298" t="s">
        <v>417</v>
      </c>
      <c r="T6" s="298"/>
      <c r="U6" s="298" t="s">
        <v>417</v>
      </c>
      <c r="W6" s="298" t="s">
        <v>417</v>
      </c>
    </row>
    <row r="7" spans="1:23">
      <c r="A7" s="2837" t="s">
        <v>812</v>
      </c>
      <c r="B7" s="2838" t="s">
        <v>3085</v>
      </c>
      <c r="C7" s="1792" t="s">
        <v>327</v>
      </c>
      <c r="F7" s="298" t="s">
        <v>418</v>
      </c>
      <c r="H7" s="298" t="s">
        <v>419</v>
      </c>
      <c r="I7" s="298" t="s">
        <v>420</v>
      </c>
    </row>
    <row r="8" spans="1:23">
      <c r="A8" s="2837" t="s">
        <v>814</v>
      </c>
      <c r="B8" s="2837" t="s">
        <v>811</v>
      </c>
      <c r="C8" s="1792" t="s">
        <v>2233</v>
      </c>
      <c r="F8" s="298" t="s">
        <v>447</v>
      </c>
      <c r="H8" s="298"/>
      <c r="I8" s="298" t="s">
        <v>448</v>
      </c>
    </row>
    <row r="9" spans="1:23">
      <c r="A9" s="2837" t="s">
        <v>816</v>
      </c>
      <c r="B9" s="2837" t="s">
        <v>813</v>
      </c>
      <c r="C9" s="1792" t="s">
        <v>2234</v>
      </c>
      <c r="F9" s="298" t="s">
        <v>449</v>
      </c>
      <c r="H9" s="298"/>
    </row>
    <row r="10" spans="1:23">
      <c r="A10" s="2837" t="s">
        <v>818</v>
      </c>
      <c r="B10" s="2837" t="s">
        <v>815</v>
      </c>
      <c r="C10" s="1792" t="s">
        <v>2235</v>
      </c>
      <c r="F10" s="298" t="s">
        <v>54</v>
      </c>
    </row>
    <row r="11" spans="1:23">
      <c r="A11" s="2837" t="s">
        <v>820</v>
      </c>
      <c r="B11" s="2837" t="s">
        <v>817</v>
      </c>
      <c r="C11" s="1792" t="s">
        <v>2236</v>
      </c>
    </row>
    <row r="12" spans="1:23">
      <c r="A12" s="2837" t="s">
        <v>822</v>
      </c>
      <c r="B12" s="2837" t="s">
        <v>819</v>
      </c>
      <c r="C12" s="1792" t="s">
        <v>2237</v>
      </c>
    </row>
    <row r="13" spans="1:23">
      <c r="A13" s="2837" t="s">
        <v>824</v>
      </c>
      <c r="B13" s="2837" t="s">
        <v>821</v>
      </c>
      <c r="C13" s="1792" t="s">
        <v>2238</v>
      </c>
    </row>
    <row r="14" spans="1:23">
      <c r="A14" s="2837" t="s">
        <v>826</v>
      </c>
      <c r="B14" s="2837" t="s">
        <v>823</v>
      </c>
      <c r="C14" s="298" t="s">
        <v>54</v>
      </c>
    </row>
    <row r="15" spans="1:23">
      <c r="A15" s="2837" t="s">
        <v>827</v>
      </c>
      <c r="B15" s="2837" t="s">
        <v>825</v>
      </c>
      <c r="C15" s="1795"/>
    </row>
    <row r="16" spans="1:23">
      <c r="A16" s="2837" t="s">
        <v>828</v>
      </c>
      <c r="B16" s="2837" t="s">
        <v>2216</v>
      </c>
      <c r="C16" s="1795"/>
    </row>
    <row r="17" spans="1:3">
      <c r="A17" s="2837" t="s">
        <v>829</v>
      </c>
      <c r="B17" s="2837" t="s">
        <v>3534</v>
      </c>
      <c r="C17" s="1795"/>
    </row>
    <row r="18" spans="1:3">
      <c r="A18" s="2837" t="s">
        <v>830</v>
      </c>
      <c r="B18" s="2837" t="s">
        <v>3380</v>
      </c>
      <c r="C18" s="1795"/>
    </row>
    <row r="19" spans="1:3">
      <c r="A19" s="2837" t="s">
        <v>831</v>
      </c>
      <c r="B19" s="2837" t="s">
        <v>3382</v>
      </c>
      <c r="C19" s="1795"/>
    </row>
    <row r="20" spans="1:3">
      <c r="A20" s="2837" t="s">
        <v>832</v>
      </c>
      <c r="B20" s="2837" t="s">
        <v>3460</v>
      </c>
      <c r="C20" s="1795"/>
    </row>
    <row r="21" spans="1:3">
      <c r="A21" s="2837" t="s">
        <v>833</v>
      </c>
      <c r="B21" s="2837" t="s">
        <v>3492</v>
      </c>
      <c r="C21" s="1795"/>
    </row>
    <row r="22" spans="1:3">
      <c r="A22" s="2837" t="s">
        <v>834</v>
      </c>
      <c r="B22" s="2837" t="s">
        <v>3490</v>
      </c>
      <c r="C22" s="1795"/>
    </row>
    <row r="23" spans="1:3">
      <c r="A23" s="2837" t="s">
        <v>835</v>
      </c>
      <c r="B23" s="2837" t="s">
        <v>2217</v>
      </c>
      <c r="C23" s="1795"/>
    </row>
    <row r="24" spans="1:3">
      <c r="A24" s="2837" t="s">
        <v>836</v>
      </c>
      <c r="B24" s="2837" t="s">
        <v>2217</v>
      </c>
      <c r="C24" s="1795"/>
    </row>
    <row r="25" spans="1:3">
      <c r="A25" s="2837" t="s">
        <v>837</v>
      </c>
      <c r="B25" s="2837" t="s">
        <v>2217</v>
      </c>
      <c r="C25" s="1795"/>
    </row>
    <row r="26" spans="1:3">
      <c r="A26" s="2837" t="s">
        <v>838</v>
      </c>
      <c r="B26" s="2837" t="s">
        <v>2217</v>
      </c>
      <c r="C26" s="1795"/>
    </row>
    <row r="27" spans="1:3">
      <c r="A27" s="2837" t="s">
        <v>2217</v>
      </c>
      <c r="B27" s="2837" t="s">
        <v>2217</v>
      </c>
      <c r="C27" s="1795"/>
    </row>
    <row r="28" spans="1:3">
      <c r="A28" s="2837" t="s">
        <v>2217</v>
      </c>
      <c r="B28" s="2837" t="s">
        <v>2217</v>
      </c>
      <c r="C28" s="1795"/>
    </row>
    <row r="29" spans="1:3">
      <c r="A29" s="2837" t="s">
        <v>2217</v>
      </c>
      <c r="B29" s="2837" t="s">
        <v>2217</v>
      </c>
      <c r="C29" s="1795"/>
    </row>
    <row r="30" spans="1:3">
      <c r="A30" s="2837" t="s">
        <v>2217</v>
      </c>
      <c r="B30" s="2837" t="s">
        <v>2217</v>
      </c>
      <c r="C30" s="1795"/>
    </row>
    <row r="31" spans="1:3">
      <c r="A31" s="2837" t="s">
        <v>2217</v>
      </c>
      <c r="B31" s="2837" t="s">
        <v>2217</v>
      </c>
      <c r="C31" s="1795"/>
    </row>
    <row r="32" spans="1:3">
      <c r="A32" s="2837" t="s">
        <v>2217</v>
      </c>
      <c r="B32" s="2837" t="s">
        <v>2217</v>
      </c>
      <c r="C32" s="1795"/>
    </row>
    <row r="33" spans="1:3">
      <c r="A33" s="2837" t="s">
        <v>2217</v>
      </c>
      <c r="B33" s="2837" t="s">
        <v>2217</v>
      </c>
      <c r="C33" s="1795"/>
    </row>
    <row r="34" spans="1:3">
      <c r="A34" s="2837" t="s">
        <v>2217</v>
      </c>
      <c r="B34" s="2837" t="s">
        <v>2217</v>
      </c>
      <c r="C34" s="1795"/>
    </row>
    <row r="35" spans="1:3">
      <c r="A35" s="2837" t="s">
        <v>2217</v>
      </c>
      <c r="B35" s="2837" t="s">
        <v>2217</v>
      </c>
      <c r="C35" s="1795"/>
    </row>
    <row r="36" spans="1:3">
      <c r="A36" s="2837" t="s">
        <v>2217</v>
      </c>
      <c r="B36" s="2837" t="s">
        <v>2217</v>
      </c>
      <c r="C36" s="1795"/>
    </row>
    <row r="37" spans="1:3">
      <c r="A37" s="2837" t="s">
        <v>2217</v>
      </c>
      <c r="B37" s="2837" t="s">
        <v>2217</v>
      </c>
      <c r="C37" s="1795"/>
    </row>
    <row r="38" spans="1:3">
      <c r="A38" s="2837" t="s">
        <v>2217</v>
      </c>
      <c r="B38" s="2837" t="s">
        <v>2217</v>
      </c>
      <c r="C38" s="1795"/>
    </row>
    <row r="39" spans="1:3">
      <c r="A39" s="2837" t="s">
        <v>2217</v>
      </c>
      <c r="B39" s="2837" t="s">
        <v>2217</v>
      </c>
      <c r="C39" s="1795"/>
    </row>
    <row r="40" spans="1:3">
      <c r="A40" s="2837" t="s">
        <v>2217</v>
      </c>
      <c r="B40" s="2837" t="s">
        <v>2217</v>
      </c>
      <c r="C40" s="1795"/>
    </row>
    <row r="41" spans="1:3">
      <c r="A41" s="2837" t="s">
        <v>2217</v>
      </c>
      <c r="B41" s="2837" t="s">
        <v>2217</v>
      </c>
      <c r="C41" s="1795"/>
    </row>
    <row r="42" spans="1:3">
      <c r="A42" s="2837" t="s">
        <v>2217</v>
      </c>
      <c r="B42" s="2837" t="s">
        <v>2217</v>
      </c>
      <c r="C42" s="1795"/>
    </row>
    <row r="43" spans="1:3">
      <c r="A43" s="2837" t="s">
        <v>2217</v>
      </c>
      <c r="B43" s="2837" t="s">
        <v>2217</v>
      </c>
      <c r="C43" s="1795"/>
    </row>
    <row r="44" spans="1:3">
      <c r="A44" s="2837" t="s">
        <v>2217</v>
      </c>
      <c r="B44" s="2837" t="s">
        <v>2217</v>
      </c>
      <c r="C44" s="1795"/>
    </row>
    <row r="45" spans="1:3">
      <c r="A45" s="2837" t="s">
        <v>2217</v>
      </c>
      <c r="B45" s="2837" t="s">
        <v>2217</v>
      </c>
      <c r="C45" s="1795"/>
    </row>
    <row r="46" spans="1:3">
      <c r="A46" s="2837" t="s">
        <v>2217</v>
      </c>
      <c r="B46" s="2837" t="s">
        <v>2217</v>
      </c>
      <c r="C46" s="1795"/>
    </row>
    <row r="47" spans="1:3">
      <c r="A47" s="2837" t="s">
        <v>2217</v>
      </c>
      <c r="B47" s="2837" t="s">
        <v>2217</v>
      </c>
      <c r="C47" s="1795"/>
    </row>
    <row r="48" spans="1:3">
      <c r="A48" s="2837" t="s">
        <v>2217</v>
      </c>
      <c r="B48" s="2837" t="s">
        <v>2217</v>
      </c>
      <c r="C48" s="1795"/>
    </row>
    <row r="49" spans="1:4">
      <c r="A49" s="2837" t="s">
        <v>2217</v>
      </c>
      <c r="B49" s="2837" t="s">
        <v>2217</v>
      </c>
      <c r="C49" s="1795"/>
    </row>
    <row r="50" spans="1:4">
      <c r="A50" s="2837" t="s">
        <v>2217</v>
      </c>
      <c r="B50" s="2837" t="s">
        <v>2217</v>
      </c>
      <c r="C50" s="1795"/>
    </row>
    <row r="51" spans="1:4">
      <c r="A51" s="1976" t="s">
        <v>2366</v>
      </c>
      <c r="B51" s="211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19" t="s">
        <v>3274</v>
      </c>
    </row>
    <row r="52" spans="1:4">
      <c r="A52" s="1976" t="s">
        <v>2371</v>
      </c>
      <c r="B52" s="1976" t="s">
        <v>2372</v>
      </c>
      <c r="C52" s="1166" t="s">
        <v>2373</v>
      </c>
      <c r="D52" s="1166" t="s">
        <v>2374</v>
      </c>
    </row>
    <row r="53" spans="1:4">
      <c r="A53" s="3468" t="s">
        <v>2375</v>
      </c>
      <c r="B53" s="2119" t="s">
        <v>2376</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12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3468"/>
      <c r="B54" s="2119" t="s">
        <v>2377</v>
      </c>
      <c r="C54" s="1166" t="s">
        <v>3271</v>
      </c>
    </row>
    <row r="55" spans="1:4">
      <c r="A55" s="3468"/>
      <c r="B55" s="2119" t="s">
        <v>2378</v>
      </c>
      <c r="C55" s="1166" t="s">
        <v>3272</v>
      </c>
    </row>
    <row r="56" spans="1:4">
      <c r="A56" s="3468"/>
      <c r="B56" s="2119" t="s">
        <v>2379</v>
      </c>
      <c r="C56" s="1166" t="s">
        <v>3283</v>
      </c>
    </row>
    <row r="57" spans="1:4">
      <c r="A57" s="3468"/>
      <c r="B57" s="2119" t="s">
        <v>2380</v>
      </c>
      <c r="C57" s="1166" t="s">
        <v>3273</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1207" customWidth="1"/>
    <col min="2" max="2" width="10" style="1207" customWidth="1"/>
    <col min="3" max="3" width="11.5" style="1207" customWidth="1"/>
    <col min="4" max="6" width="10" style="1207" customWidth="1"/>
    <col min="7" max="7" width="10.75" style="1207" customWidth="1"/>
    <col min="8" max="8" width="10" style="1207" customWidth="1"/>
    <col min="9" max="9" width="11.125" style="1167" customWidth="1"/>
    <col min="10" max="10" width="10" style="1207" customWidth="1"/>
    <col min="11" max="11" width="10" style="2131"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2492</v>
      </c>
      <c r="B1" s="3469"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470"/>
      <c r="D1" s="3470"/>
      <c r="E1" s="3470"/>
      <c r="F1" s="3470"/>
      <c r="G1" s="3470"/>
      <c r="H1" s="3470"/>
      <c r="I1" s="3471"/>
      <c r="J1" s="2020"/>
      <c r="K1" s="2126"/>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0" t="s">
        <v>2493</v>
      </c>
      <c r="B2" s="1967"/>
      <c r="C2" s="2022"/>
      <c r="D2" s="2020"/>
      <c r="E2" s="2023"/>
      <c r="F2" s="2023"/>
      <c r="G2" s="2020"/>
      <c r="H2" s="2020"/>
      <c r="I2" s="2020"/>
      <c r="J2" s="2020"/>
      <c r="K2" s="2126"/>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5" t="s">
        <v>2359</v>
      </c>
      <c r="B3" s="3276">
        <v>42959</v>
      </c>
      <c r="C3" s="1947" t="s">
        <v>2360</v>
      </c>
      <c r="D3" s="3276">
        <v>42959</v>
      </c>
      <c r="E3" s="2020"/>
      <c r="F3" s="2020"/>
      <c r="G3" s="2020"/>
      <c r="H3" s="2020"/>
      <c r="I3" s="2020"/>
      <c r="J3" s="2020"/>
      <c r="K3" s="2126"/>
      <c r="L3" s="2021"/>
      <c r="M3" s="2021"/>
      <c r="N3" s="1201"/>
      <c r="O3" s="11"/>
      <c r="P3" s="1201"/>
      <c r="Q3" s="1201"/>
      <c r="R3" s="1201"/>
      <c r="S3" s="1200"/>
    </row>
    <row r="4" spans="1:19" ht="18" customHeight="1" thickBot="1">
      <c r="A4" s="1948" t="s">
        <v>2361</v>
      </c>
      <c r="B4" s="1949" t="s">
        <v>3377</v>
      </c>
      <c r="C4" s="1950">
        <f ca="1">SUMIF(注册房地产估价师,B4,估价师及机构信息!B3:B24)</f>
        <v>1120050019</v>
      </c>
      <c r="D4" s="1949" t="s">
        <v>3376</v>
      </c>
      <c r="E4" s="1951">
        <f ca="1">SUMIF(注册房地产估价师,D4,估价师及机构信息!B3:B24)</f>
        <v>1120070131</v>
      </c>
      <c r="F4" s="1949" t="s">
        <v>755</v>
      </c>
      <c r="G4" s="1979">
        <f>SUMIF(注册房地产估价师,F4,估价师及机构信息!B3:B24)</f>
        <v>0</v>
      </c>
      <c r="H4" s="1949" t="s">
        <v>755</v>
      </c>
      <c r="I4" s="2926">
        <f>SUMIF(注册房地产估价师,H4,估价师及机构信息!B3:B24)</f>
        <v>0</v>
      </c>
      <c r="J4" s="2025"/>
      <c r="K4" s="2127" t="str">
        <f ca="1">CONCATENATE(B4,"（注册号：",C4,")、",D4,"（注册号：",E4,")")</f>
        <v>王鹏（注册号：1120050019)、郑燚（注册号：1120070131)</v>
      </c>
      <c r="L4" s="2021"/>
      <c r="M4" s="2021"/>
      <c r="N4" s="1201"/>
      <c r="O4" s="11"/>
      <c r="P4" s="1201"/>
      <c r="Q4" s="1201"/>
      <c r="R4" s="1201"/>
      <c r="S4" s="1200"/>
    </row>
    <row r="5" spans="1:19" ht="18" customHeight="1" thickTop="1">
      <c r="A5" s="1952" t="s">
        <v>2455</v>
      </c>
      <c r="B5" s="2063" t="s">
        <v>3433</v>
      </c>
      <c r="C5" s="2064"/>
      <c r="D5" s="2026"/>
      <c r="E5" s="2025"/>
      <c r="F5" s="2025"/>
      <c r="G5" s="2025"/>
      <c r="H5" s="2025"/>
      <c r="I5" s="2025"/>
      <c r="J5" s="2025"/>
      <c r="K5" s="2127" t="str">
        <f>IF(F4="——","",IF(H4="——",F4&amp;"（注册号："&amp;G4&amp;")",CONCATENATE(F4,"（注册号：",G4,")、",H4,"（注册号：",I4,")")))</f>
        <v/>
      </c>
      <c r="L5" s="2021"/>
      <c r="M5" s="2021"/>
      <c r="N5" s="1201"/>
      <c r="O5" s="11"/>
      <c r="P5" s="1201"/>
      <c r="Q5" s="1201"/>
      <c r="R5" s="1201"/>
    </row>
    <row r="6" spans="1:19" ht="18" customHeight="1">
      <c r="A6" s="1953" t="s">
        <v>2456</v>
      </c>
      <c r="B6" s="2065" t="s">
        <v>2494</v>
      </c>
      <c r="C6" s="2066"/>
      <c r="D6" s="2027"/>
      <c r="E6" s="2023"/>
      <c r="F6" s="2025"/>
      <c r="G6" s="2025"/>
      <c r="H6" s="2025"/>
      <c r="I6" s="2025"/>
      <c r="J6" s="2025"/>
      <c r="K6" s="2128"/>
      <c r="L6" s="2021"/>
      <c r="M6" s="2021"/>
      <c r="N6" s="1201"/>
      <c r="O6" s="11"/>
      <c r="P6" s="1201"/>
      <c r="Q6" s="1201"/>
      <c r="R6" s="1201"/>
    </row>
    <row r="7" spans="1:19" ht="18" customHeight="1">
      <c r="A7" s="1954" t="s">
        <v>3277</v>
      </c>
      <c r="B7" s="2063" t="s">
        <v>2496</v>
      </c>
      <c r="C7" s="2066"/>
      <c r="D7" s="2027"/>
      <c r="E7" s="2023"/>
      <c r="F7" s="2025"/>
      <c r="G7" s="2025"/>
      <c r="H7" s="2025"/>
      <c r="I7" s="2025"/>
      <c r="J7" s="2025"/>
      <c r="K7" s="2128"/>
      <c r="L7" s="2021"/>
      <c r="M7" s="2021"/>
      <c r="N7" s="1201"/>
      <c r="O7" s="11"/>
      <c r="P7" s="1201"/>
      <c r="Q7" s="1201"/>
      <c r="R7" s="1201"/>
    </row>
    <row r="8" spans="1:19" ht="18" customHeight="1">
      <c r="A8" s="1954" t="s">
        <v>2307</v>
      </c>
      <c r="B8" s="2059" t="s">
        <v>2457</v>
      </c>
      <c r="C8" s="2028"/>
      <c r="D8" s="3472" t="s">
        <v>2370</v>
      </c>
      <c r="E8" s="2060" t="s">
        <v>3282</v>
      </c>
      <c r="F8" s="2061"/>
      <c r="G8" s="2020"/>
      <c r="H8" s="2020"/>
      <c r="I8" s="2020"/>
      <c r="J8" s="2025"/>
      <c r="K8" s="2127"/>
      <c r="L8" s="2021"/>
      <c r="M8" s="2021"/>
      <c r="N8" s="1201"/>
      <c r="O8" s="11"/>
      <c r="P8" s="1201"/>
      <c r="Q8" s="1201"/>
      <c r="R8" s="1201"/>
    </row>
    <row r="9" spans="1:19" ht="18" customHeight="1" thickBot="1">
      <c r="A9" s="1979" t="s">
        <v>2308</v>
      </c>
      <c r="B9" s="1980" t="s">
        <v>2495</v>
      </c>
      <c r="C9" s="2029"/>
      <c r="D9" s="3473"/>
      <c r="E9" s="1980" t="s">
        <v>3278</v>
      </c>
      <c r="F9" s="2929"/>
      <c r="G9" s="2024"/>
      <c r="H9" s="2024"/>
      <c r="I9" s="2024"/>
      <c r="J9" s="2025"/>
      <c r="K9" s="2128"/>
      <c r="L9" s="2021"/>
      <c r="M9" s="2021"/>
      <c r="N9" s="1201"/>
      <c r="O9" s="11"/>
      <c r="P9" s="1201"/>
      <c r="Q9" s="1201"/>
      <c r="R9" s="1201"/>
    </row>
    <row r="10" spans="1:19" ht="18" customHeight="1" thickTop="1">
      <c r="A10" s="2034" t="s">
        <v>2427</v>
      </c>
      <c r="B10" s="2080" t="s">
        <v>3443</v>
      </c>
      <c r="C10" s="2062" t="s">
        <v>3444</v>
      </c>
      <c r="D10" s="2026"/>
      <c r="E10" s="1964" t="s">
        <v>2309</v>
      </c>
      <c r="F10" s="1977" t="s">
        <v>3434</v>
      </c>
      <c r="G10" s="2927"/>
      <c r="H10" s="2928"/>
      <c r="I10" s="2026"/>
      <c r="J10" s="2025"/>
      <c r="K10" s="2128"/>
      <c r="L10" s="2021"/>
      <c r="M10" s="2021"/>
      <c r="N10" s="1201"/>
      <c r="O10" s="11"/>
      <c r="P10" s="1201"/>
      <c r="Q10" s="1201"/>
      <c r="R10" s="1201"/>
    </row>
    <row r="11" spans="1:19" ht="18" customHeight="1">
      <c r="A11" s="1983" t="s">
        <v>2428</v>
      </c>
      <c r="B11" s="2079" t="s">
        <v>1481</v>
      </c>
      <c r="C11" s="2063" t="s">
        <v>2496</v>
      </c>
      <c r="D11" s="2030"/>
      <c r="E11" s="2025"/>
      <c r="F11" s="2025"/>
      <c r="G11" s="2025"/>
      <c r="H11" s="2025"/>
      <c r="I11" s="2025"/>
      <c r="J11" s="2025"/>
      <c r="K11" s="2128"/>
      <c r="L11" s="2021"/>
      <c r="M11" s="2021"/>
      <c r="N11" s="1201"/>
      <c r="O11" s="11"/>
      <c r="P11" s="1201"/>
      <c r="Q11" s="1201"/>
      <c r="R11" s="1201"/>
    </row>
    <row r="12" spans="1:19" ht="18" customHeight="1">
      <c r="A12" s="2078" t="s">
        <v>2454</v>
      </c>
      <c r="B12" s="2079" t="s">
        <v>2381</v>
      </c>
      <c r="C12" s="2037" t="s">
        <v>2459</v>
      </c>
      <c r="D12" s="2049" t="s">
        <v>2301</v>
      </c>
      <c r="E12" s="2049" t="s">
        <v>3112</v>
      </c>
      <c r="F12" s="2049" t="s">
        <v>3113</v>
      </c>
      <c r="G12" s="2049" t="s">
        <v>3114</v>
      </c>
      <c r="H12" s="2049" t="s">
        <v>3115</v>
      </c>
      <c r="I12" s="2049" t="s">
        <v>3116</v>
      </c>
      <c r="J12" s="2025"/>
      <c r="K12" s="2128"/>
      <c r="L12" s="2021"/>
      <c r="M12" s="2021"/>
      <c r="N12" s="1201"/>
      <c r="O12" s="11"/>
      <c r="P12" s="1201"/>
      <c r="Q12" s="1201"/>
      <c r="R12" s="1201"/>
    </row>
    <row r="13" spans="1:19" ht="18" customHeight="1">
      <c r="A13" s="2033"/>
      <c r="B13" s="2108"/>
      <c r="C13" s="2109" t="s">
        <v>2458</v>
      </c>
      <c r="D13" s="3275">
        <v>68099</v>
      </c>
      <c r="E13" s="3275">
        <v>57142</v>
      </c>
      <c r="F13" s="3275">
        <v>60794</v>
      </c>
      <c r="G13" s="3275">
        <f>F13</f>
        <v>60794</v>
      </c>
      <c r="H13" s="3275"/>
      <c r="I13" s="2074"/>
      <c r="J13" s="2025"/>
      <c r="K13" s="2128"/>
      <c r="L13" s="2021"/>
      <c r="M13" s="2021"/>
      <c r="N13" s="1201"/>
      <c r="O13" s="11"/>
      <c r="P13" s="1201"/>
      <c r="Q13" s="1201"/>
      <c r="R13" s="1201"/>
    </row>
    <row r="14" spans="1:19" ht="18" customHeight="1">
      <c r="A14" s="2033"/>
      <c r="B14" s="2108"/>
      <c r="C14" s="2109" t="s">
        <v>2460</v>
      </c>
      <c r="D14" s="2077">
        <v>70</v>
      </c>
      <c r="E14" s="2077">
        <v>40</v>
      </c>
      <c r="F14" s="2077">
        <v>50</v>
      </c>
      <c r="G14" s="2077">
        <v>50</v>
      </c>
      <c r="H14" s="2077">
        <v>50</v>
      </c>
      <c r="I14" s="2077">
        <v>50</v>
      </c>
      <c r="J14" s="2025"/>
      <c r="K14" s="2129"/>
      <c r="L14" s="2021"/>
      <c r="M14" s="2021"/>
      <c r="N14" s="1201"/>
      <c r="O14" s="11"/>
      <c r="P14" s="1201"/>
      <c r="Q14" s="1201"/>
      <c r="R14" s="1201"/>
    </row>
    <row r="15" spans="1:19" ht="18" customHeight="1">
      <c r="A15" s="2034"/>
      <c r="B15" s="2110"/>
      <c r="C15" s="2109" t="s">
        <v>2461</v>
      </c>
      <c r="D15" s="2076">
        <f>IF(B12="出让",IF(D13="","",ROUNDDOWN(MIN((D13-$D$3)/365,D14),2)),D14)</f>
        <v>68.87</v>
      </c>
      <c r="E15" s="2076">
        <f>IF(B12="出让",IF(E13="","",ROUNDDOWN(MIN((E13-$D$3)/365,E14),2)),E14)</f>
        <v>38.85</v>
      </c>
      <c r="F15" s="2076">
        <f>IF(B12="出让",IF(F13="","",ROUNDDOWN(MIN((F13-$D$3)/365,F14),2)),F14)</f>
        <v>48.86</v>
      </c>
      <c r="G15" s="2076">
        <f>IF(B12="出让",IF(G13="","",ROUNDDOWN(MIN((G13-$D$3)/365,G14),2)),G14)</f>
        <v>48.86</v>
      </c>
      <c r="H15" s="2076" t="str">
        <f>IF(B12="出让",IF(H13="","",ROUNDDOWN(MIN((H13-$D$3)/365,H14),2)),H14)</f>
        <v/>
      </c>
      <c r="I15" s="2076" t="str">
        <f>IF(B12="出让",IF(I13="","",ROUNDDOWN(MIN((I13-$D$3)/365,I14),2)),I14)</f>
        <v/>
      </c>
      <c r="J15" s="2025"/>
      <c r="K15" s="2130"/>
      <c r="L15" s="1235"/>
      <c r="M15" s="1235"/>
      <c r="N15" s="2045"/>
      <c r="O15" s="1235"/>
      <c r="P15" s="2045"/>
      <c r="Q15" s="1201"/>
      <c r="R15" s="1201"/>
    </row>
    <row r="16" spans="1:19" ht="30.75" customHeight="1">
      <c r="A16" s="1964" t="s">
        <v>2462</v>
      </c>
      <c r="B16" s="3479" t="s">
        <v>2464</v>
      </c>
      <c r="C16" s="3480"/>
      <c r="D16" s="3481"/>
      <c r="E16" s="1981" t="s">
        <v>2382</v>
      </c>
      <c r="F16" s="3482"/>
      <c r="G16" s="3483"/>
      <c r="H16" s="3483"/>
      <c r="I16" s="3484"/>
      <c r="J16" s="1201"/>
      <c r="K16" s="2130"/>
      <c r="L16" s="1235"/>
      <c r="M16" s="1235"/>
      <c r="N16" s="2045"/>
      <c r="O16" s="1235"/>
      <c r="P16" s="2045"/>
      <c r="Q16" s="1201"/>
      <c r="R16" s="1201"/>
    </row>
    <row r="17" spans="1:22" ht="18" customHeight="1">
      <c r="A17" s="2032" t="s">
        <v>2310</v>
      </c>
      <c r="B17" s="1965" t="s">
        <v>2311</v>
      </c>
      <c r="C17" s="2111">
        <f>'数据-汇总表'!E3</f>
        <v>144992.93</v>
      </c>
      <c r="D17" s="1966" t="s">
        <v>2312</v>
      </c>
      <c r="E17" s="3485" t="s">
        <v>2369</v>
      </c>
      <c r="F17" s="3486"/>
      <c r="G17" s="3486"/>
      <c r="H17" s="3486"/>
      <c r="I17" s="3487"/>
      <c r="J17" s="1201"/>
      <c r="K17" s="2733"/>
      <c r="L17" s="1235"/>
      <c r="M17" s="1235"/>
      <c r="N17" s="2045"/>
      <c r="O17" s="1235"/>
      <c r="P17" s="2045"/>
      <c r="Q17" s="1201"/>
      <c r="R17" s="1201"/>
      <c r="S17" s="1201"/>
      <c r="T17" s="1201"/>
      <c r="U17" s="1201"/>
      <c r="V17" s="1201"/>
    </row>
    <row r="18" spans="1:22" ht="36" customHeight="1" thickBot="1">
      <c r="A18" s="2935" t="s">
        <v>3108</v>
      </c>
      <c r="B18" s="1948" t="s">
        <v>2313</v>
      </c>
      <c r="C18" s="2936">
        <f>'数据-汇总表'!D3</f>
        <v>24814.06</v>
      </c>
      <c r="D18" s="2937" t="s">
        <v>2312</v>
      </c>
      <c r="E18" s="3488" t="s">
        <v>2368</v>
      </c>
      <c r="F18" s="3489"/>
      <c r="G18" s="3489"/>
      <c r="H18" s="3489"/>
      <c r="I18" s="3490"/>
      <c r="J18" s="1201"/>
      <c r="K18" s="2733"/>
      <c r="L18" s="1235"/>
      <c r="M18" s="1235"/>
      <c r="N18" s="2045"/>
      <c r="O18" s="1235"/>
      <c r="P18" s="2045"/>
      <c r="Q18" s="1201"/>
      <c r="R18" s="1201"/>
      <c r="S18" s="1201"/>
      <c r="T18" s="1201"/>
      <c r="U18" s="1201"/>
      <c r="V18" s="1201"/>
    </row>
    <row r="19" spans="1:22" ht="18" customHeight="1" thickTop="1" thickBot="1">
      <c r="A19" s="2934" t="s">
        <v>2406</v>
      </c>
      <c r="B19" s="2085" t="s">
        <v>2407</v>
      </c>
      <c r="C19" s="2086" t="s">
        <v>39</v>
      </c>
      <c r="D19" s="2068" t="s">
        <v>2410</v>
      </c>
      <c r="E19" s="2067" t="s">
        <v>39</v>
      </c>
      <c r="F19" s="2069" t="str">
        <f>IF(AND(C19="是",E19="否"),"是否提供他项权证或相关说明","")</f>
        <v/>
      </c>
      <c r="G19" s="2070" t="s">
        <v>39</v>
      </c>
      <c r="H19" s="2025"/>
      <c r="I19" s="2025"/>
      <c r="J19" s="2025"/>
      <c r="K19" s="2128"/>
      <c r="L19" s="2021"/>
      <c r="M19" s="2021"/>
      <c r="N19" s="2045"/>
      <c r="O19" s="1235"/>
      <c r="P19" s="2045"/>
      <c r="Q19" s="1201"/>
      <c r="R19" s="1201"/>
      <c r="S19" s="1201"/>
      <c r="T19" s="1201"/>
      <c r="U19" s="1201"/>
      <c r="V19" s="1201"/>
    </row>
    <row r="20" spans="1:22" ht="18" customHeight="1">
      <c r="A20" s="2087" t="s">
        <v>2411</v>
      </c>
      <c r="B20" s="3475" t="s">
        <v>2412</v>
      </c>
      <c r="C20" s="3476"/>
      <c r="D20" s="3477" t="s">
        <v>2413</v>
      </c>
      <c r="E20" s="3478"/>
      <c r="F20" s="2093" t="s">
        <v>2414</v>
      </c>
      <c r="G20" s="2025"/>
      <c r="H20" s="2025"/>
      <c r="I20" s="2025"/>
      <c r="J20" s="2025"/>
      <c r="K20" s="3474" t="s">
        <v>2409</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7"/>
      <c r="B21" s="2088" t="s">
        <v>2415</v>
      </c>
      <c r="C21" s="2057" t="s">
        <v>2416</v>
      </c>
      <c r="D21" s="2014" t="s">
        <v>2419</v>
      </c>
      <c r="E21" s="2058" t="s">
        <v>2416</v>
      </c>
      <c r="F21" s="2003"/>
      <c r="G21" s="2025"/>
      <c r="H21" s="2025"/>
      <c r="I21" s="2025"/>
      <c r="J21" s="2025"/>
      <c r="K21" s="3474"/>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7"/>
      <c r="B22" s="2089" t="s">
        <v>2417</v>
      </c>
      <c r="C22" s="2057" t="s">
        <v>2418</v>
      </c>
      <c r="D22" s="2020"/>
      <c r="E22" s="2020"/>
      <c r="F22" s="2094"/>
      <c r="G22" s="2025"/>
      <c r="H22" s="2025"/>
      <c r="I22" s="2025"/>
      <c r="J22" s="2025"/>
      <c r="K22" s="3474"/>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1"/>
      <c r="N22" s="2045"/>
      <c r="O22" s="1235"/>
      <c r="P22" s="2045"/>
      <c r="Q22" s="1201"/>
      <c r="R22" s="1201"/>
      <c r="S22" s="1201"/>
      <c r="T22" s="1201"/>
      <c r="U22" s="1201"/>
      <c r="V22" s="1201"/>
    </row>
    <row r="23" spans="1:22" ht="18" customHeight="1">
      <c r="A23" s="2002" t="s">
        <v>2420</v>
      </c>
      <c r="B23" s="2090" t="s">
        <v>2421</v>
      </c>
      <c r="C23" s="2091"/>
      <c r="D23" s="2004" t="s">
        <v>2421</v>
      </c>
      <c r="E23" s="2012"/>
      <c r="F23" s="2094"/>
      <c r="G23" s="2025"/>
      <c r="H23" s="2025"/>
      <c r="I23" s="2025"/>
      <c r="J23" s="2025"/>
      <c r="K23" s="226"/>
      <c r="L23" s="2646"/>
      <c r="M23" s="2021"/>
      <c r="N23" s="2045"/>
      <c r="O23" s="1235"/>
      <c r="P23" s="2045"/>
      <c r="Q23" s="1201"/>
      <c r="R23" s="1201"/>
      <c r="S23" s="1201"/>
      <c r="T23" s="1201"/>
      <c r="U23" s="1201"/>
      <c r="V23" s="1201"/>
    </row>
    <row r="24" spans="1:22" ht="18" customHeight="1">
      <c r="A24" s="2005"/>
      <c r="B24" s="2090" t="s">
        <v>2422</v>
      </c>
      <c r="C24" s="2092"/>
      <c r="D24" s="2002" t="s">
        <v>2422</v>
      </c>
      <c r="E24" s="2013"/>
      <c r="F24" s="2094"/>
      <c r="G24" s="2025"/>
      <c r="H24" s="2025"/>
      <c r="I24" s="2025"/>
      <c r="J24" s="2025"/>
      <c r="K24" s="226"/>
      <c r="L24" s="2646"/>
      <c r="M24" s="2021"/>
      <c r="N24" s="2045"/>
      <c r="O24" s="1235"/>
      <c r="P24" s="2045"/>
      <c r="Q24" s="1201"/>
      <c r="R24" s="1201"/>
      <c r="S24" s="1201"/>
      <c r="T24" s="1201"/>
      <c r="U24" s="1201"/>
      <c r="V24" s="1201"/>
    </row>
    <row r="25" spans="1:22" ht="18" customHeight="1">
      <c r="A25" s="2005"/>
      <c r="B25" s="2090" t="s">
        <v>2423</v>
      </c>
      <c r="C25" s="2092"/>
      <c r="D25" s="2002" t="s">
        <v>2423</v>
      </c>
      <c r="E25" s="2013"/>
      <c r="F25" s="2094"/>
      <c r="G25" s="2025"/>
      <c r="H25" s="2025"/>
      <c r="I25" s="2025"/>
      <c r="J25" s="2025"/>
      <c r="K25" s="2128"/>
      <c r="L25" s="2021"/>
      <c r="M25" s="2021"/>
      <c r="N25" s="2045"/>
      <c r="O25" s="1235"/>
      <c r="P25" s="2045"/>
      <c r="Q25" s="1201"/>
      <c r="R25" s="1201"/>
      <c r="S25" s="1201"/>
      <c r="T25" s="1201"/>
      <c r="U25" s="1201"/>
      <c r="V25" s="1201"/>
    </row>
    <row r="26" spans="1:22" ht="18" customHeight="1" thickBot="1">
      <c r="A26" s="2082"/>
      <c r="B26" s="2095" t="s">
        <v>2424</v>
      </c>
      <c r="C26" s="2096"/>
      <c r="D26" s="2084" t="s">
        <v>2424</v>
      </c>
      <c r="E26" s="2083"/>
      <c r="F26" s="2097"/>
      <c r="G26" s="2024"/>
      <c r="H26" s="2024"/>
      <c r="I26" s="2024"/>
      <c r="J26" s="2025"/>
      <c r="K26" s="2128"/>
      <c r="L26" s="2021"/>
      <c r="M26" s="2021"/>
      <c r="N26" s="2045"/>
      <c r="O26" s="1235"/>
      <c r="P26" s="2045"/>
      <c r="Q26" s="1201"/>
      <c r="R26" s="1201"/>
      <c r="S26" s="1201"/>
      <c r="T26" s="1201"/>
      <c r="U26" s="1201"/>
      <c r="V26" s="1201"/>
    </row>
    <row r="27" spans="1:22" ht="18" customHeight="1" thickTop="1">
      <c r="A27" s="3492" t="s">
        <v>2429</v>
      </c>
      <c r="B27" s="2034" t="s">
        <v>2430</v>
      </c>
      <c r="C27" s="1955" t="s">
        <v>2783</v>
      </c>
      <c r="D27" s="1956"/>
      <c r="E27" s="2025"/>
      <c r="F27" s="2025"/>
      <c r="G27" s="2025"/>
      <c r="H27" s="2025"/>
      <c r="I27" s="2025"/>
      <c r="J27" s="1201"/>
      <c r="K27" s="2130"/>
      <c r="L27" s="1235"/>
      <c r="M27" s="1235"/>
      <c r="N27" s="2045"/>
      <c r="O27" s="1235"/>
      <c r="P27" s="2045"/>
      <c r="Q27" s="1201"/>
      <c r="R27" s="1201"/>
      <c r="S27" s="1201"/>
      <c r="T27" s="1201"/>
      <c r="U27" s="1201"/>
      <c r="V27" s="1201"/>
    </row>
    <row r="28" spans="1:22" ht="18" customHeight="1">
      <c r="A28" s="3492"/>
      <c r="B28" s="1965" t="s">
        <v>2431</v>
      </c>
      <c r="C28" s="1957" t="s">
        <v>239</v>
      </c>
      <c r="D28" s="1958"/>
      <c r="E28" s="2025"/>
      <c r="F28" s="2025"/>
      <c r="G28" s="2025"/>
      <c r="H28" s="2025"/>
      <c r="I28" s="2025"/>
      <c r="J28" s="1201"/>
      <c r="K28" s="2134"/>
      <c r="L28" s="2021"/>
      <c r="M28" s="2021"/>
      <c r="N28" s="1201"/>
      <c r="O28" s="11"/>
      <c r="P28" s="1201"/>
      <c r="Q28" s="1201"/>
      <c r="R28" s="1201"/>
      <c r="S28" s="1201"/>
      <c r="T28" s="1201"/>
      <c r="U28" s="1201"/>
      <c r="V28" s="1201"/>
    </row>
    <row r="29" spans="1:22" ht="18" customHeight="1">
      <c r="A29" s="3492"/>
      <c r="B29" s="1965" t="s">
        <v>2432</v>
      </c>
      <c r="C29" s="1959" t="s">
        <v>44</v>
      </c>
      <c r="D29" s="1960"/>
      <c r="E29" s="2025"/>
      <c r="F29" s="2025"/>
      <c r="G29" s="2025"/>
      <c r="H29" s="2025"/>
      <c r="I29" s="2025"/>
      <c r="J29" s="1201"/>
      <c r="K29" s="2134"/>
      <c r="L29" s="2021"/>
      <c r="M29" s="2021"/>
      <c r="N29" s="1201"/>
      <c r="O29" s="11"/>
      <c r="P29" s="1201"/>
      <c r="Q29" s="1201"/>
      <c r="R29" s="1201"/>
      <c r="S29" s="1201"/>
      <c r="T29" s="1201"/>
      <c r="U29" s="1201"/>
      <c r="V29" s="1201"/>
    </row>
    <row r="30" spans="1:22" ht="18" customHeight="1">
      <c r="A30" s="3493"/>
      <c r="B30" s="1965" t="s">
        <v>2433</v>
      </c>
      <c r="C30" s="3494"/>
      <c r="D30" s="3495"/>
      <c r="E30" s="2025"/>
      <c r="F30" s="2025"/>
      <c r="G30" s="2025"/>
      <c r="H30" s="2025"/>
      <c r="I30" s="2025"/>
      <c r="J30" s="1201"/>
      <c r="K30" s="2134"/>
      <c r="L30" s="2021"/>
      <c r="M30" s="2021"/>
      <c r="N30" s="1201"/>
      <c r="O30" s="11"/>
      <c r="P30" s="1201"/>
      <c r="Q30" s="1201"/>
      <c r="R30" s="1201"/>
      <c r="S30" s="1201"/>
      <c r="T30" s="1201"/>
      <c r="U30" s="1201"/>
      <c r="V30" s="1201"/>
    </row>
    <row r="31" spans="1:22" ht="18" customHeight="1">
      <c r="A31" s="3496" t="s">
        <v>2434</v>
      </c>
      <c r="B31" s="1961" t="s">
        <v>274</v>
      </c>
      <c r="C31" s="1962" t="str">
        <f>IF(B31="现房","成新及维护状况正常否",IF(B31="在建","工程状态是否正常",IF(B31="土地","是否闲置","-")))</f>
        <v>工程状态是否正常</v>
      </c>
      <c r="D31" s="2035"/>
      <c r="E31" s="1963" t="s">
        <v>1475</v>
      </c>
      <c r="F31" s="2025"/>
      <c r="G31" s="2025"/>
      <c r="H31" s="2025"/>
      <c r="I31" s="2025"/>
      <c r="J31" s="2025"/>
      <c r="K31" s="2132"/>
      <c r="L31" s="2021"/>
      <c r="M31" s="2021"/>
      <c r="N31" s="1201"/>
      <c r="O31" s="11"/>
      <c r="P31" s="1201"/>
      <c r="Q31" s="1201"/>
      <c r="R31" s="1201"/>
      <c r="S31" s="1201"/>
      <c r="T31" s="1201"/>
      <c r="U31" s="1201"/>
      <c r="V31" s="1201"/>
    </row>
    <row r="32" spans="1:22" ht="18" customHeight="1">
      <c r="A32" s="3497"/>
      <c r="B32" s="1961" t="s">
        <v>274</v>
      </c>
      <c r="C32" s="1962" t="str">
        <f>IF(B32="现房","成新及维护状况是否正常",IF(B32="在建","工程状态是否正常",IF(B32="土地","是否闲置","-")))</f>
        <v>工程状态是否正常</v>
      </c>
      <c r="D32" s="2035"/>
      <c r="E32" s="1963" t="s">
        <v>1475</v>
      </c>
      <c r="F32" s="2025"/>
      <c r="G32" s="2025"/>
      <c r="H32" s="2025"/>
      <c r="I32" s="2025"/>
      <c r="J32" s="2025"/>
      <c r="K32" s="2128"/>
      <c r="L32" s="2021"/>
      <c r="M32" s="2021"/>
      <c r="N32" s="1201"/>
      <c r="O32" s="11"/>
      <c r="P32" s="1201"/>
      <c r="Q32" s="1201"/>
      <c r="R32" s="1201"/>
      <c r="S32" s="1201"/>
      <c r="T32" s="1201"/>
      <c r="U32" s="1201"/>
      <c r="V32" s="1201"/>
    </row>
    <row r="33" spans="1:22" ht="18" customHeight="1">
      <c r="A33" s="3497"/>
      <c r="B33" s="1982"/>
      <c r="C33" s="1983" t="str">
        <f>IF(B33="现房","成新及维护状况是否正常",IF(B33="在建","工程状态是否正常",IF(B33="土地","是否闲置","-")))</f>
        <v>-</v>
      </c>
      <c r="D33" s="2036"/>
      <c r="E33" s="1984"/>
      <c r="F33" s="2025"/>
      <c r="G33" s="2025"/>
      <c r="H33" s="2025"/>
      <c r="I33" s="2025"/>
      <c r="J33" s="2025"/>
      <c r="K33" s="2128"/>
      <c r="L33" s="2021"/>
      <c r="M33" s="2021"/>
      <c r="N33" s="1201"/>
      <c r="O33" s="11"/>
      <c r="P33" s="1201"/>
      <c r="Q33" s="1201"/>
      <c r="R33" s="1201"/>
      <c r="S33" s="1201"/>
      <c r="T33" s="1201"/>
      <c r="U33" s="1201"/>
      <c r="V33" s="1201"/>
    </row>
    <row r="34" spans="1:22" ht="18" customHeight="1">
      <c r="A34" s="1965" t="s">
        <v>2383</v>
      </c>
      <c r="B34" s="1985" t="s">
        <v>2384</v>
      </c>
      <c r="C34" s="1985" t="s">
        <v>2385</v>
      </c>
      <c r="D34" s="1985" t="s">
        <v>2386</v>
      </c>
      <c r="E34" s="1985" t="s">
        <v>2387</v>
      </c>
      <c r="F34" s="1985" t="s">
        <v>2388</v>
      </c>
      <c r="G34" s="1985" t="s">
        <v>755</v>
      </c>
      <c r="H34" s="1985" t="s">
        <v>755</v>
      </c>
      <c r="I34" s="2025"/>
      <c r="J34" s="2025"/>
      <c r="K34" s="2924">
        <f>COUNTIF(B34:H34,"——")</f>
        <v>2</v>
      </c>
      <c r="L34" s="2037" t="s">
        <v>2465</v>
      </c>
      <c r="M34" s="2037" t="s">
        <v>2466</v>
      </c>
      <c r="N34" s="2037" t="s">
        <v>2467</v>
      </c>
      <c r="O34" s="2037" t="s">
        <v>2468</v>
      </c>
      <c r="P34" s="2037" t="s">
        <v>2469</v>
      </c>
      <c r="Q34" s="2037" t="s">
        <v>2470</v>
      </c>
      <c r="R34" s="2037" t="s">
        <v>2471</v>
      </c>
      <c r="S34" s="3491" t="s">
        <v>2472</v>
      </c>
      <c r="T34" s="2038" t="str">
        <f>NUMBERSTRING(7-K34,1)&amp;"通"</f>
        <v>五通</v>
      </c>
      <c r="U34" s="1201"/>
      <c r="V34" s="1201"/>
    </row>
    <row r="35" spans="1:22" ht="18" customHeight="1">
      <c r="A35" s="2039"/>
      <c r="B35" s="3498" t="s">
        <v>2226</v>
      </c>
      <c r="C35" s="3498"/>
      <c r="D35" s="3498"/>
      <c r="E35" s="3498"/>
      <c r="F35" s="2040" t="str">
        <f>C10</f>
        <v>河南省郑州市</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91"/>
      <c r="T35" s="23" t="str">
        <f>IF(T34="一通",L35,IF(T34="二通",M35,IF(T34="三通",N35,IF(T34="四通",O35,IF(T34="五通",P35,IF(T34="六通",Q35,R35))))))</f>
        <v>通路、通电、通上水、通下水、通讯</v>
      </c>
      <c r="U35" s="1201"/>
      <c r="V35" s="1201"/>
    </row>
    <row r="36" spans="1:22" ht="18" customHeight="1">
      <c r="A36" s="2041"/>
      <c r="B36" s="2040" t="s">
        <v>2306</v>
      </c>
      <c r="C36" s="2040" t="s">
        <v>2302</v>
      </c>
      <c r="D36" s="2040" t="s">
        <v>2301</v>
      </c>
      <c r="E36" s="2040" t="s">
        <v>2303</v>
      </c>
      <c r="F36" s="2042"/>
      <c r="G36" s="2025"/>
      <c r="H36" s="2025"/>
      <c r="I36" s="2025"/>
      <c r="J36" s="2025"/>
      <c r="K36" s="2128"/>
      <c r="L36" s="2021"/>
      <c r="M36" s="2021"/>
      <c r="N36" s="1201"/>
      <c r="O36" s="11"/>
      <c r="P36" s="1201"/>
      <c r="Q36" s="1201"/>
      <c r="R36" s="1201"/>
      <c r="S36" s="1201"/>
      <c r="T36" s="1201"/>
      <c r="U36" s="1201"/>
      <c r="V36" s="1201"/>
    </row>
    <row r="37" spans="1:22" ht="18" customHeight="1">
      <c r="A37" s="2043" t="s">
        <v>2225</v>
      </c>
      <c r="B37" s="2044" t="s">
        <v>1889</v>
      </c>
      <c r="C37" s="2044" t="s">
        <v>1889</v>
      </c>
      <c r="D37" s="2044" t="s">
        <v>1803</v>
      </c>
      <c r="E37" s="2044" t="s">
        <v>1889</v>
      </c>
      <c r="F37" s="2042"/>
      <c r="G37" s="2025"/>
      <c r="H37" s="2025"/>
      <c r="I37" s="2025"/>
      <c r="J37" s="2025"/>
      <c r="K37" s="2128"/>
      <c r="L37" s="2021"/>
      <c r="M37" s="2021"/>
      <c r="N37" s="1201"/>
      <c r="O37" s="11"/>
      <c r="P37" s="1201"/>
      <c r="Q37" s="1201"/>
      <c r="R37" s="1201"/>
      <c r="S37" s="1201"/>
      <c r="T37" s="1201"/>
      <c r="U37" s="1201"/>
      <c r="V37" s="1201"/>
    </row>
    <row r="38" spans="1:22" ht="18" customHeight="1" thickBot="1">
      <c r="A38" s="2071" t="s">
        <v>2227</v>
      </c>
      <c r="B38" s="2072" t="s">
        <v>1658</v>
      </c>
      <c r="C38" s="2072" t="s">
        <v>1658</v>
      </c>
      <c r="D38" s="2072" t="s">
        <v>1599</v>
      </c>
      <c r="E38" s="2072" t="s">
        <v>2906</v>
      </c>
      <c r="F38" s="2073"/>
      <c r="G38" s="2024"/>
      <c r="H38" s="2024"/>
      <c r="I38" s="2024"/>
      <c r="J38" s="2025"/>
      <c r="K38" s="2128"/>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3"/>
      <c r="L40" s="1235"/>
      <c r="M40" s="1235"/>
      <c r="N40" s="2045"/>
      <c r="O40" s="1235"/>
      <c r="P40" s="1201"/>
      <c r="Q40" s="1201"/>
      <c r="R40" s="1201"/>
      <c r="S40" s="1201"/>
      <c r="T40" s="1201"/>
      <c r="U40" s="1201"/>
      <c r="V40" s="1201"/>
    </row>
    <row r="41" spans="1:22" ht="18" customHeight="1">
      <c r="A41" s="2046" t="s">
        <v>2435</v>
      </c>
      <c r="B41" s="2047"/>
      <c r="C41" s="2048"/>
      <c r="D41" s="1201"/>
      <c r="E41" s="1201"/>
      <c r="F41" s="1201"/>
      <c r="G41" s="1201"/>
      <c r="H41" s="1201"/>
      <c r="I41" s="11"/>
      <c r="J41" s="1201"/>
      <c r="K41" s="2134"/>
      <c r="L41" s="2021"/>
      <c r="M41" s="2021"/>
      <c r="N41" s="1201"/>
      <c r="O41" s="11"/>
      <c r="P41" s="1201"/>
      <c r="Q41" s="1201"/>
      <c r="R41" s="1201"/>
      <c r="S41" s="1201"/>
      <c r="T41" s="1201"/>
      <c r="U41" s="1201"/>
      <c r="V41" s="1201"/>
    </row>
    <row r="42" spans="1:22" ht="18" customHeight="1">
      <c r="A42" s="2037" t="s">
        <v>2436</v>
      </c>
      <c r="B42" s="2011" t="s">
        <v>2437</v>
      </c>
      <c r="C42" s="2011" t="s">
        <v>2438</v>
      </c>
      <c r="D42" s="2011" t="s">
        <v>2439</v>
      </c>
      <c r="E42" s="2011" t="s">
        <v>2440</v>
      </c>
      <c r="F42" s="2011" t="s">
        <v>2441</v>
      </c>
      <c r="G42" s="2011" t="s">
        <v>2442</v>
      </c>
      <c r="H42" s="2011" t="s">
        <v>2443</v>
      </c>
      <c r="I42" s="2011" t="s">
        <v>2444</v>
      </c>
      <c r="J42" s="2124" t="s">
        <v>2445</v>
      </c>
      <c r="K42" s="2049" t="s">
        <v>2446</v>
      </c>
      <c r="L42" s="2049" t="s">
        <v>2447</v>
      </c>
      <c r="M42" s="2049" t="s">
        <v>2448</v>
      </c>
      <c r="N42" s="2011" t="s">
        <v>2449</v>
      </c>
      <c r="O42" s="2011" t="s">
        <v>2450</v>
      </c>
      <c r="P42" s="2011" t="s">
        <v>2451</v>
      </c>
      <c r="Q42" s="2037" t="s">
        <v>2452</v>
      </c>
      <c r="R42" s="2037" t="s">
        <v>2453</v>
      </c>
      <c r="S42" s="1201"/>
      <c r="T42" s="1201"/>
      <c r="U42" s="1201"/>
      <c r="V42" s="1201"/>
    </row>
    <row r="43" spans="1:22" s="2268" customFormat="1" ht="18" customHeight="1">
      <c r="A43" s="1421"/>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1"/>
      <c r="B44" s="1421"/>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1"/>
      <c r="B45" s="1421"/>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1"/>
      <c r="B46" s="1421"/>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1"/>
      <c r="B47" s="1421"/>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1"/>
      <c r="B48" s="1421"/>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1"/>
      <c r="B49" s="1421"/>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1"/>
      <c r="B50" s="1421"/>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1"/>
      <c r="B51" s="1421"/>
      <c r="C51" s="216"/>
      <c r="D51" s="216"/>
      <c r="E51" s="216"/>
      <c r="F51" s="216"/>
      <c r="G51" s="216"/>
      <c r="H51" s="2"/>
      <c r="I51" s="2"/>
      <c r="J51" s="9"/>
      <c r="K51" s="4"/>
      <c r="L51" s="4"/>
      <c r="M51" s="2"/>
      <c r="N51" s="216"/>
      <c r="O51" s="2"/>
      <c r="P51" s="216"/>
      <c r="Q51" s="216"/>
      <c r="R51" s="216"/>
    </row>
    <row r="52" spans="1:22" s="2268" customFormat="1" ht="18" customHeight="1">
      <c r="A52" s="2050"/>
      <c r="B52" s="2050"/>
      <c r="C52" s="2050"/>
      <c r="D52" s="2050"/>
      <c r="E52" s="2050"/>
      <c r="F52" s="2"/>
      <c r="G52" s="2050"/>
      <c r="H52" s="2050"/>
      <c r="I52" s="2050"/>
      <c r="J52" s="2125"/>
      <c r="K52" s="4"/>
      <c r="L52" s="4"/>
      <c r="M52" s="4"/>
      <c r="N52" s="2050"/>
      <c r="O52" s="2050"/>
      <c r="P52" s="2050"/>
      <c r="Q52" s="2050"/>
      <c r="R52" s="2050"/>
    </row>
    <row r="53" spans="1:22" s="2268" customFormat="1" ht="18" customHeight="1">
      <c r="A53" s="2050"/>
      <c r="B53" s="2050"/>
      <c r="C53" s="2050"/>
      <c r="D53" s="2050"/>
      <c r="E53" s="2050"/>
      <c r="F53" s="2"/>
      <c r="G53" s="2050"/>
      <c r="H53" s="2050"/>
      <c r="I53" s="2050"/>
      <c r="J53" s="2125"/>
      <c r="K53" s="4"/>
      <c r="L53" s="4"/>
      <c r="M53" s="4"/>
      <c r="N53" s="2050"/>
      <c r="O53" s="2050"/>
      <c r="P53" s="2050"/>
      <c r="Q53" s="2050"/>
      <c r="R53" s="2050"/>
    </row>
    <row r="54" spans="1:22" s="2268" customFormat="1" ht="18" customHeight="1">
      <c r="A54" s="2050"/>
      <c r="B54" s="2050"/>
      <c r="C54" s="2050"/>
      <c r="D54" s="2050"/>
      <c r="E54" s="2050"/>
      <c r="F54" s="2"/>
      <c r="G54" s="2050"/>
      <c r="H54" s="2050"/>
      <c r="I54" s="2050"/>
      <c r="J54" s="2125"/>
      <c r="K54" s="4"/>
      <c r="L54" s="4"/>
      <c r="M54" s="4"/>
      <c r="N54" s="2050"/>
      <c r="O54" s="2050"/>
      <c r="P54" s="2050"/>
      <c r="Q54" s="2050"/>
      <c r="R54" s="2050"/>
    </row>
    <row r="55" spans="1:22" s="2268" customFormat="1" ht="18" customHeight="1">
      <c r="A55" s="2050"/>
      <c r="B55" s="2050"/>
      <c r="C55" s="2050"/>
      <c r="D55" s="2050"/>
      <c r="E55" s="2050"/>
      <c r="F55" s="2"/>
      <c r="G55" s="2050"/>
      <c r="H55" s="2050"/>
      <c r="I55" s="2050"/>
      <c r="J55" s="2125"/>
      <c r="K55" s="4"/>
      <c r="L55" s="4"/>
      <c r="M55" s="4"/>
      <c r="N55" s="2050"/>
      <c r="O55" s="2050"/>
      <c r="P55" s="2050"/>
      <c r="Q55" s="2050"/>
      <c r="R55" s="2050"/>
    </row>
    <row r="56" spans="1:22" s="2268" customFormat="1" ht="18" customHeight="1">
      <c r="A56" s="2050"/>
      <c r="B56" s="2050"/>
      <c r="C56" s="2050"/>
      <c r="D56" s="2050"/>
      <c r="E56" s="2050"/>
      <c r="F56" s="2"/>
      <c r="G56" s="2050"/>
      <c r="H56" s="2050"/>
      <c r="I56" s="2050"/>
      <c r="J56" s="2125"/>
      <c r="K56" s="4"/>
      <c r="L56" s="4"/>
      <c r="M56" s="4"/>
      <c r="N56" s="2050"/>
      <c r="O56" s="2050"/>
      <c r="P56" s="2050"/>
      <c r="Q56" s="2050"/>
      <c r="R56" s="20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customWidth="1"/>
    <col min="16" max="16" width="9.75" style="1167" customWidth="1"/>
    <col min="17" max="17" width="9.375" style="1167"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hidden="1" customWidth="1"/>
    <col min="38" max="38" width="13.75" style="1167" hidden="1" customWidth="1"/>
    <col min="39" max="39" width="9.5" style="1167" hidden="1" customWidth="1"/>
    <col min="40" max="41" width="9.5" style="1167" customWidth="1"/>
    <col min="42" max="45" width="9.5" style="1167" hidden="1" customWidth="1"/>
    <col min="46"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841</v>
      </c>
      <c r="B2" s="82" t="s">
        <v>842</v>
      </c>
      <c r="C2" s="82" t="s">
        <v>843</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8" t="s">
        <v>2784</v>
      </c>
      <c r="AZ2" s="2549" t="s">
        <v>2785</v>
      </c>
      <c r="BA2" s="2550" t="s">
        <v>2786</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面积表!C41</f>
        <v>87028.31</v>
      </c>
      <c r="B3" s="308">
        <f>IF(C3="否",G5-AT5,G5)</f>
        <v>508521.72</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51"/>
      <c r="AZ3" s="2552"/>
      <c r="BA3" s="255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844</v>
      </c>
      <c r="B5" s="220"/>
      <c r="C5" s="220"/>
      <c r="D5" s="218"/>
      <c r="E5" s="311" t="s">
        <v>23</v>
      </c>
      <c r="F5" s="311">
        <f>SUM(F13:F587)</f>
        <v>0</v>
      </c>
      <c r="G5" s="311">
        <f>SUM(G13:G587)</f>
        <v>508521.72</v>
      </c>
      <c r="H5" s="311">
        <f t="shared" ref="H5:AT5" si="0">SUM(H13:H656)</f>
        <v>506097.62</v>
      </c>
      <c r="I5" s="311">
        <f t="shared" si="0"/>
        <v>73642.670000000013</v>
      </c>
      <c r="J5" s="311">
        <f t="shared" si="0"/>
        <v>0</v>
      </c>
      <c r="K5" s="311">
        <f t="shared" si="0"/>
        <v>131553.93</v>
      </c>
      <c r="L5" s="311">
        <f t="shared" si="0"/>
        <v>0</v>
      </c>
      <c r="M5" s="311">
        <f t="shared" si="0"/>
        <v>73063.02</v>
      </c>
      <c r="N5" s="311">
        <f t="shared" si="0"/>
        <v>0</v>
      </c>
      <c r="O5" s="311">
        <f t="shared" si="0"/>
        <v>183000</v>
      </c>
      <c r="P5" s="311">
        <f t="shared" si="0"/>
        <v>0</v>
      </c>
      <c r="Q5" s="311">
        <f t="shared" si="0"/>
        <v>44838</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2424.1</v>
      </c>
      <c r="AD5" s="311">
        <f t="shared" si="0"/>
        <v>2424.1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144992.93</v>
      </c>
      <c r="BA5" s="313">
        <f t="shared" si="1"/>
        <v>144992.93</v>
      </c>
      <c r="BB5" s="313">
        <f t="shared" si="1"/>
        <v>65608.850000000006</v>
      </c>
      <c r="BC5" s="313">
        <f t="shared" si="1"/>
        <v>6321.0599999999995</v>
      </c>
      <c r="BD5" s="313">
        <f t="shared" si="1"/>
        <v>73063.02</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5" customFormat="1" ht="12.75">
      <c r="A6" s="83" t="s">
        <v>845</v>
      </c>
      <c r="B6" s="223"/>
      <c r="C6" s="223"/>
      <c r="D6" s="224"/>
      <c r="E6" s="311">
        <f>H6+AC6+AT6</f>
        <v>87028.310000000012</v>
      </c>
      <c r="F6" s="311" t="s">
        <v>23</v>
      </c>
      <c r="G6" s="311" t="s">
        <v>25</v>
      </c>
      <c r="H6" s="315">
        <f>SUMIF(I$12:AB$12,"总值",I6:AB6)</f>
        <v>86613.450000000012</v>
      </c>
      <c r="I6" s="311">
        <f t="shared" ref="I6:AB6" si="2">ROUND($A$3*I5/$B$3,2)</f>
        <v>12603.19</v>
      </c>
      <c r="J6" s="311">
        <f t="shared" si="2"/>
        <v>0</v>
      </c>
      <c r="K6" s="311">
        <f t="shared" si="2"/>
        <v>22514.11</v>
      </c>
      <c r="L6" s="311">
        <f t="shared" si="2"/>
        <v>0</v>
      </c>
      <c r="M6" s="311">
        <f t="shared" si="2"/>
        <v>12503.99</v>
      </c>
      <c r="N6" s="311">
        <f t="shared" si="2"/>
        <v>0</v>
      </c>
      <c r="O6" s="311">
        <f t="shared" si="2"/>
        <v>31318.59</v>
      </c>
      <c r="P6" s="311">
        <f t="shared" si="2"/>
        <v>0</v>
      </c>
      <c r="Q6" s="311">
        <f t="shared" si="2"/>
        <v>7673.57</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414.86</v>
      </c>
      <c r="AD6" s="311">
        <f t="shared" ref="AD6:AS6" si="3">ROUND($A$3*AD5/$B$3,2)</f>
        <v>414.86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24814.06</v>
      </c>
      <c r="AZ6" s="311" t="s">
        <v>29</v>
      </c>
      <c r="BA6" s="311">
        <f>ROUND($AY$6*BA5/$AZ$5,2)</f>
        <v>24814.06</v>
      </c>
      <c r="BB6" s="311">
        <f>ROUND($AY$6*BB5/$AZ$5,2)</f>
        <v>11228.28</v>
      </c>
      <c r="BC6" s="311">
        <f t="shared" ref="BC6:BH6" si="4">ROUND($AY$6*BC5/$AZ$5,2)</f>
        <v>1081.78</v>
      </c>
      <c r="BD6" s="311">
        <f t="shared" si="4"/>
        <v>12503.99</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69"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860</v>
      </c>
      <c r="I9" s="244" t="s">
        <v>41</v>
      </c>
      <c r="J9" s="245"/>
      <c r="K9" s="244" t="s">
        <v>41</v>
      </c>
      <c r="L9" s="245"/>
      <c r="M9" s="244" t="s">
        <v>41</v>
      </c>
      <c r="N9" s="245"/>
      <c r="O9" s="244" t="s">
        <v>41</v>
      </c>
      <c r="P9" s="245"/>
      <c r="Q9" s="244" t="s">
        <v>41</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42</v>
      </c>
      <c r="P10" s="245"/>
      <c r="Q10" s="252" t="s">
        <v>43</v>
      </c>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3437</v>
      </c>
      <c r="J11" s="259"/>
      <c r="K11" s="258" t="s">
        <v>3378</v>
      </c>
      <c r="L11" s="259"/>
      <c r="M11" s="258" t="s">
        <v>3451</v>
      </c>
      <c r="N11" s="259"/>
      <c r="O11" s="258" t="s">
        <v>346</v>
      </c>
      <c r="P11" s="259"/>
      <c r="Q11" s="258" t="s">
        <v>3590</v>
      </c>
      <c r="R11" s="259"/>
      <c r="S11" s="258"/>
      <c r="T11" s="259"/>
      <c r="U11" s="258"/>
      <c r="V11" s="259"/>
      <c r="W11" s="258"/>
      <c r="X11" s="259"/>
      <c r="Y11" s="258"/>
      <c r="Z11" s="259"/>
      <c r="AA11" s="258"/>
      <c r="AB11" s="259"/>
      <c r="AC11" s="240"/>
      <c r="AD11" s="2541" t="s">
        <v>2772</v>
      </c>
      <c r="AE11" s="2520"/>
      <c r="AF11" s="2541" t="s">
        <v>2772</v>
      </c>
      <c r="AG11" s="2520"/>
      <c r="AH11" s="2541" t="s">
        <v>2773</v>
      </c>
      <c r="AI11" s="2542"/>
      <c r="AJ11" s="2541" t="s">
        <v>2773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住宅</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限价商品房</v>
      </c>
      <c r="BF12" s="238" t="str">
        <f>Q11</f>
        <v>办公楼</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24">
      <c r="A13" s="216"/>
      <c r="B13" s="216"/>
      <c r="C13" s="216" t="s">
        <v>3435</v>
      </c>
      <c r="D13" s="217" t="s">
        <v>39</v>
      </c>
      <c r="E13" s="311">
        <f>IF($C$3="是",ROUND($A$3*G13/$B$3,2),ROUND($A$3*(G13-AT13)/$B$3,2))</f>
        <v>11228.29</v>
      </c>
      <c r="F13" s="327"/>
      <c r="G13" s="328">
        <f>H13+AC13+AT13</f>
        <v>65608.850000000006</v>
      </c>
      <c r="H13" s="315">
        <f>SUMIF(I$12:AB$12,"总值",I13:AB13)</f>
        <v>65608.850000000006</v>
      </c>
      <c r="I13" s="1422">
        <f>面积表!C65</f>
        <v>65608.850000000006</v>
      </c>
      <c r="J13" s="1422"/>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t="s">
        <v>1476</v>
      </c>
      <c r="AV13" s="82">
        <f t="shared" ref="AV13:AX17" si="6">A13</f>
        <v>0</v>
      </c>
      <c r="AW13" s="82">
        <f t="shared" si="6"/>
        <v>0</v>
      </c>
      <c r="AX13" s="82" t="str">
        <f t="shared" si="6"/>
        <v>住宅</v>
      </c>
      <c r="AY13" s="310">
        <f>ROUND($AY$6*AZ13/$AZ$5,2)</f>
        <v>11228.28</v>
      </c>
      <c r="AZ13" s="311">
        <f>BA13+BL13</f>
        <v>65608.850000000006</v>
      </c>
      <c r="BA13" s="311">
        <f>SUM(BB13:BK13)</f>
        <v>65608.850000000006</v>
      </c>
      <c r="BB13" s="311">
        <f>IF($D13="是",I13-J13,0)</f>
        <v>65608.850000000006</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3450</v>
      </c>
      <c r="D14" s="217" t="s">
        <v>39</v>
      </c>
      <c r="E14" s="311">
        <f>IF($C$3="是",ROUND($A$3*G14/$B$3,2),ROUND($A$3*(G14-AT14)/$B$3,2))</f>
        <v>12503.99</v>
      </c>
      <c r="F14" s="327"/>
      <c r="G14" s="328">
        <f>H14+AC14+AT14</f>
        <v>73063.02</v>
      </c>
      <c r="H14" s="315">
        <f>SUMIF(I$12:AB$12,"总值",I14:AB14)</f>
        <v>73063.02</v>
      </c>
      <c r="I14" s="1422"/>
      <c r="J14" s="1422"/>
      <c r="K14" s="3323"/>
      <c r="L14" s="1422"/>
      <c r="M14" s="1422">
        <f>面积表!C68-面积表!H65-面积表!H66</f>
        <v>73063.02</v>
      </c>
      <c r="N14" s="1422"/>
      <c r="O14" s="3323"/>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办公（公寓）</v>
      </c>
      <c r="AY14" s="310">
        <f>ROUND($AY$6*AZ14/$AZ$5,2)</f>
        <v>12503.99</v>
      </c>
      <c r="AZ14" s="311">
        <f>BA14+BL14</f>
        <v>73063.02</v>
      </c>
      <c r="BA14" s="311">
        <f>SUM(BB14:BK14)</f>
        <v>73063.02</v>
      </c>
      <c r="BB14" s="311">
        <f>IF($D14="是",I14-J14,0)</f>
        <v>0</v>
      </c>
      <c r="BC14" s="311">
        <f>IF($D14="是",K14-L14,0)</f>
        <v>0</v>
      </c>
      <c r="BD14" s="311">
        <f>IF($D14="是",M14-N14,0)</f>
        <v>73063.02</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12.75">
      <c r="A15" s="216"/>
      <c r="B15" s="216"/>
      <c r="C15" s="216" t="s">
        <v>3454</v>
      </c>
      <c r="D15" s="217" t="s">
        <v>44</v>
      </c>
      <c r="E15" s="311">
        <f>IF($C$3="是",ROUND($A$3*G15/$B$3,2),ROUND($A$3*(G15-AT15)/$B$3,2))</f>
        <v>21432.33</v>
      </c>
      <c r="F15" s="327"/>
      <c r="G15" s="328">
        <f>H15+AC15+AT15</f>
        <v>125232.87</v>
      </c>
      <c r="H15" s="315">
        <f>SUMIF(I$12:AB$12,"总值",I15:AB15)</f>
        <v>125232.87</v>
      </c>
      <c r="I15" s="1422"/>
      <c r="J15" s="1422"/>
      <c r="K15" s="1422">
        <f>面积表!C70</f>
        <v>125232.87</v>
      </c>
      <c r="L15" s="1422"/>
      <c r="M15" s="1422"/>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商场</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3588</v>
      </c>
      <c r="D16" s="217" t="s">
        <v>44</v>
      </c>
      <c r="E16" s="311">
        <f>IF($C$3="是",ROUND($A$3*G16/$B$3,2),ROUND($A$3*(G16-AT16)/$B$3,2))</f>
        <v>31318.59</v>
      </c>
      <c r="F16" s="327"/>
      <c r="G16" s="328">
        <f>H16+AC16+AT16</f>
        <v>183000</v>
      </c>
      <c r="H16" s="315">
        <f>SUMIF(I$12:AB$12,"总值",I16:AB16)</f>
        <v>183000</v>
      </c>
      <c r="I16" s="1422"/>
      <c r="J16" s="1422"/>
      <c r="K16" s="1422"/>
      <c r="L16" s="1422"/>
      <c r="M16" s="1422"/>
      <c r="N16" s="1422"/>
      <c r="O16" s="1422">
        <v>183000</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24"/>
      <c r="AM16" s="1423"/>
      <c r="AN16" s="1423"/>
      <c r="AO16" s="1423"/>
      <c r="AP16" s="1423"/>
      <c r="AQ16" s="1423"/>
      <c r="AR16" s="1423"/>
      <c r="AS16" s="1423"/>
      <c r="AT16" s="1424"/>
      <c r="AU16" s="215"/>
      <c r="AV16" s="82">
        <f t="shared" si="6"/>
        <v>0</v>
      </c>
      <c r="AW16" s="82">
        <f t="shared" si="6"/>
        <v>0</v>
      </c>
      <c r="AX16" s="82" t="str">
        <f t="shared" si="6"/>
        <v>安置房</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3589</v>
      </c>
      <c r="D17" s="217" t="s">
        <v>44</v>
      </c>
      <c r="E17" s="311">
        <f>IF($C$3="是",ROUND($A$3*G17/$B$3,2),ROUND($A$3*(G17-AT17)/$B$3,2))</f>
        <v>7673.57</v>
      </c>
      <c r="F17" s="327"/>
      <c r="G17" s="328">
        <f>H17+AC17+AT17</f>
        <v>44838</v>
      </c>
      <c r="H17" s="315">
        <f>SUMIF(I$12:AB$12,"总值",I17:AB17)</f>
        <v>44838</v>
      </c>
      <c r="I17" s="1422"/>
      <c r="J17" s="1422"/>
      <c r="K17" s="1422"/>
      <c r="L17" s="1422"/>
      <c r="M17" s="1422"/>
      <c r="N17" s="1422"/>
      <c r="O17" s="1422"/>
      <c r="P17" s="1422"/>
      <c r="Q17" s="1422">
        <f>面积表!H65+面积表!H66</f>
        <v>44838</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安置办公</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43" t="s">
        <v>3436</v>
      </c>
      <c r="D18" s="2241" t="s">
        <v>44</v>
      </c>
      <c r="E18" s="330">
        <f t="shared" ref="E18:E112" si="7">IF($C$3="是",ROUND($A$3*G18/$B$3,2),ROUND($A$3*(G18-AT18)/$B$3,2))</f>
        <v>1374.91</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t="str">
        <f t="shared" ref="AX18:AX112" si="13">C18</f>
        <v>公租房</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3" t="s">
        <v>3595</v>
      </c>
      <c r="D19" s="2241" t="s">
        <v>44</v>
      </c>
      <c r="E19" s="330">
        <f t="shared" si="7"/>
        <v>414.86</v>
      </c>
      <c r="F19" s="331"/>
      <c r="G19" s="332">
        <f t="shared" si="8"/>
        <v>2424.1</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2424.1</v>
      </c>
      <c r="AD19" s="335">
        <v>2424.1</v>
      </c>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t="str">
        <f t="shared" si="13"/>
        <v>幼儿园</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3" t="s">
        <v>3452</v>
      </c>
      <c r="D20" s="2241" t="s">
        <v>39</v>
      </c>
      <c r="E20" s="330">
        <f t="shared" si="7"/>
        <v>1081.79</v>
      </c>
      <c r="F20" s="331"/>
      <c r="G20" s="332">
        <f t="shared" si="8"/>
        <v>6321.0599999999995</v>
      </c>
      <c r="H20" s="333">
        <f t="shared" si="9"/>
        <v>6321.0599999999995</v>
      </c>
      <c r="I20" s="334"/>
      <c r="J20" s="334"/>
      <c r="K20" s="334">
        <f>面积表!C69</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t="str">
        <f t="shared" si="13"/>
        <v>底商</v>
      </c>
      <c r="AY20" s="337">
        <f t="shared" si="14"/>
        <v>1081.78</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2"/>
      <c r="D21" s="2241"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6" t="s">
        <v>2</v>
      </c>
      <c r="B1" s="3436" t="s">
        <v>37</v>
      </c>
      <c r="C1" s="3436" t="s">
        <v>38</v>
      </c>
      <c r="D1" s="3499" t="s">
        <v>364</v>
      </c>
      <c r="E1" s="3499" t="s">
        <v>365</v>
      </c>
      <c r="F1" s="3499"/>
      <c r="G1" s="3499"/>
      <c r="H1" s="3499"/>
      <c r="I1" s="3499"/>
      <c r="J1" s="3499"/>
      <c r="K1" s="3499"/>
      <c r="L1" s="3499"/>
      <c r="M1" s="3499"/>
    </row>
    <row r="2" spans="1:13" ht="27" customHeight="1">
      <c r="A2" s="3436"/>
      <c r="B2" s="3436"/>
      <c r="C2" s="3436"/>
      <c r="D2" s="3499"/>
      <c r="E2" s="3499" t="s">
        <v>348</v>
      </c>
      <c r="F2" s="3499" t="s">
        <v>349</v>
      </c>
      <c r="G2" s="3499"/>
      <c r="H2" s="3499"/>
      <c r="I2" s="3499"/>
      <c r="J2" s="3499" t="s">
        <v>350</v>
      </c>
      <c r="K2" s="3499"/>
      <c r="L2" s="3499"/>
      <c r="M2" s="3499"/>
    </row>
    <row r="3" spans="1:13" ht="28.5">
      <c r="A3" s="3436"/>
      <c r="B3" s="3436"/>
      <c r="C3" s="3436"/>
      <c r="D3" s="3499"/>
      <c r="E3" s="3499"/>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9" t="s">
        <v>366</v>
      </c>
      <c r="B9" s="3499"/>
      <c r="C9" s="349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E3" sqref="E3"/>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868</v>
      </c>
      <c r="B1" s="2253"/>
      <c r="C1" s="2253"/>
      <c r="D1" s="2253"/>
      <c r="E1" s="2253"/>
      <c r="F1" s="2253"/>
      <c r="G1" s="2253"/>
      <c r="H1" s="2253"/>
      <c r="I1" s="2253"/>
      <c r="J1" s="2253"/>
      <c r="K1" s="2253"/>
      <c r="L1" s="2253"/>
      <c r="M1" s="2253"/>
      <c r="N1" s="2253"/>
      <c r="O1" s="2253"/>
      <c r="P1" s="2253"/>
    </row>
    <row r="2" spans="1:16">
      <c r="A2" s="3509" t="s">
        <v>869</v>
      </c>
      <c r="B2" s="3509"/>
      <c r="C2" s="3509"/>
      <c r="D2" s="2234" t="s">
        <v>870</v>
      </c>
      <c r="E2" s="19" t="s">
        <v>871</v>
      </c>
      <c r="F2" s="2253"/>
      <c r="G2" s="1184"/>
      <c r="H2" s="1185"/>
      <c r="I2" s="2242" t="s">
        <v>872</v>
      </c>
      <c r="J2" s="2253"/>
      <c r="K2" s="2253"/>
      <c r="L2" s="2253"/>
      <c r="M2" s="2253"/>
      <c r="N2" s="2262"/>
      <c r="O2" s="2253"/>
      <c r="P2" s="2253"/>
    </row>
    <row r="3" spans="1:16" ht="15.75" thickBot="1">
      <c r="A3" s="3510" t="s">
        <v>873</v>
      </c>
      <c r="B3" s="3510"/>
      <c r="C3" s="3510"/>
      <c r="D3" s="341">
        <f>'数据-基础表'!AY6</f>
        <v>24814.06</v>
      </c>
      <c r="E3" s="341">
        <f>'数据-基础表'!AZ5</f>
        <v>144992.93</v>
      </c>
      <c r="F3" s="2253"/>
      <c r="G3" s="446"/>
      <c r="H3" s="444" t="s">
        <v>874</v>
      </c>
      <c r="I3" s="350">
        <f>ROUND('数据-基础表'!B3/'数据-基础表'!A3,2)</f>
        <v>5.84</v>
      </c>
      <c r="J3" s="2253"/>
      <c r="K3" s="2253"/>
      <c r="L3" s="2253"/>
      <c r="M3" s="2253"/>
      <c r="N3" s="2262"/>
      <c r="O3" s="2253"/>
      <c r="P3" s="2253"/>
    </row>
    <row r="4" spans="1:16" ht="14.25">
      <c r="A4" s="3511"/>
      <c r="B4" s="3512"/>
      <c r="C4" s="3513"/>
      <c r="D4" s="20" t="s">
        <v>870</v>
      </c>
      <c r="E4" s="21" t="s">
        <v>871</v>
      </c>
      <c r="F4" s="2253"/>
      <c r="G4" s="1186" t="s">
        <v>2139</v>
      </c>
      <c r="H4" s="444" t="s">
        <v>875</v>
      </c>
      <c r="I4" s="350">
        <f>ROUND(SUMIF('数据-基础表'!I9:AS9,"地上",'数据-基础表'!I5:AS5)/'数据-基础表'!A3,2)</f>
        <v>5.84</v>
      </c>
      <c r="J4" s="2253"/>
      <c r="K4" s="2253"/>
      <c r="L4" s="2253"/>
      <c r="M4" s="2253"/>
      <c r="N4" s="2262"/>
      <c r="O4" s="2253"/>
      <c r="P4" s="2253"/>
    </row>
    <row r="5" spans="1:16" ht="14.25">
      <c r="A5" s="22" t="s">
        <v>876</v>
      </c>
      <c r="B5" s="3514" t="s">
        <v>877</v>
      </c>
      <c r="C5" s="3514"/>
      <c r="D5" s="343">
        <f>ROUND($D$3*E5/$E$3,2)</f>
        <v>11228.28</v>
      </c>
      <c r="E5" s="344">
        <f>SUMIF('数据-基础表'!$11:$11,"住宅",'数据-基础表'!$5:$5)</f>
        <v>65608.850000000006</v>
      </c>
      <c r="F5" s="2253"/>
      <c r="G5" s="446"/>
      <c r="H5" s="444" t="s">
        <v>874</v>
      </c>
      <c r="I5" s="350">
        <f>ROUND(E31/D31,2)</f>
        <v>5.84</v>
      </c>
      <c r="J5" s="2253"/>
      <c r="K5" s="2253"/>
      <c r="L5" s="2253"/>
      <c r="M5" s="2253"/>
      <c r="N5" s="2253"/>
      <c r="O5" s="2253"/>
      <c r="P5" s="2253"/>
    </row>
    <row r="6" spans="1:16" ht="15" thickBot="1">
      <c r="A6" s="24"/>
      <c r="B6" s="3514" t="s">
        <v>878</v>
      </c>
      <c r="C6" s="3514"/>
      <c r="D6" s="343">
        <f>ROUND($D$3*E6/$E$3,2)</f>
        <v>13585.78</v>
      </c>
      <c r="E6" s="344">
        <f>E3-E5</f>
        <v>79384.079999999987</v>
      </c>
      <c r="F6" s="2253"/>
      <c r="G6" s="1783" t="s">
        <v>2140</v>
      </c>
      <c r="H6" s="446" t="s">
        <v>875</v>
      </c>
      <c r="I6" s="1784">
        <f>ROUND(F31/D31,2)</f>
        <v>5.84</v>
      </c>
      <c r="J6" s="2253"/>
      <c r="K6" s="2253"/>
      <c r="L6" s="2253"/>
      <c r="M6" s="2253"/>
      <c r="N6" s="2253"/>
      <c r="O6" s="2253"/>
      <c r="P6" s="2253"/>
    </row>
    <row r="7" spans="1:16" ht="14.25">
      <c r="A7" s="3506"/>
      <c r="B7" s="3507"/>
      <c r="C7" s="3508"/>
      <c r="D7" s="20" t="s">
        <v>870</v>
      </c>
      <c r="E7" s="25" t="s">
        <v>871</v>
      </c>
      <c r="F7" s="2253"/>
      <c r="G7" s="1184" t="s">
        <v>2223</v>
      </c>
      <c r="H7" s="38"/>
      <c r="I7" s="768">
        <f>I6</f>
        <v>5.84</v>
      </c>
      <c r="J7" s="2253"/>
      <c r="K7" s="2253"/>
      <c r="L7" s="2253"/>
      <c r="M7" s="2253"/>
      <c r="N7" s="2253"/>
      <c r="O7" s="2253"/>
      <c r="P7" s="2253"/>
    </row>
    <row r="8" spans="1:16" ht="14.25">
      <c r="A8" s="22" t="s">
        <v>879</v>
      </c>
      <c r="B8" s="26" t="s">
        <v>880</v>
      </c>
      <c r="C8" s="23" t="s">
        <v>881</v>
      </c>
      <c r="D8" s="343">
        <f t="shared" ref="D8:D15" si="0">ROUND($D$3*E8/$E$3,2)</f>
        <v>24814.06</v>
      </c>
      <c r="E8" s="346">
        <f>SUMIF('数据-基础表'!BB10:BK10,"地上",'数据-基础表'!BB5:BK5)</f>
        <v>144992.93</v>
      </c>
      <c r="F8" s="2253"/>
      <c r="G8" s="2254"/>
      <c r="H8" s="2254"/>
      <c r="I8" s="2253"/>
      <c r="J8" s="2253"/>
      <c r="K8" s="2253"/>
      <c r="L8" s="2253"/>
      <c r="M8" s="2253"/>
      <c r="N8" s="2253"/>
      <c r="O8" s="2253"/>
      <c r="P8" s="2253"/>
    </row>
    <row r="9" spans="1:16" ht="14.25">
      <c r="A9" s="27"/>
      <c r="B9" s="28"/>
      <c r="C9" s="23" t="s">
        <v>882</v>
      </c>
      <c r="D9" s="343">
        <f t="shared" si="0"/>
        <v>0</v>
      </c>
      <c r="E9" s="347">
        <f>'数据-基础表'!AD17</f>
        <v>0</v>
      </c>
      <c r="F9" s="2253"/>
      <c r="G9" s="2254"/>
      <c r="H9" s="2254"/>
      <c r="I9" s="2253"/>
      <c r="J9" s="2253"/>
      <c r="K9" s="2253"/>
      <c r="L9" s="2253"/>
      <c r="M9" s="2253"/>
      <c r="N9" s="2253"/>
      <c r="O9" s="2253"/>
      <c r="P9" s="2253"/>
    </row>
    <row r="10" spans="1:16" ht="14.25">
      <c r="A10" s="27"/>
      <c r="B10" s="28"/>
      <c r="C10" s="23" t="s">
        <v>883</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2774</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884</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885</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886</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887</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888</v>
      </c>
      <c r="D16" s="345">
        <f>SUM(D8:D15)</f>
        <v>24814.06</v>
      </c>
      <c r="E16" s="348">
        <f>SUM(E8:E15)</f>
        <v>144992.93</v>
      </c>
      <c r="F16" s="2253"/>
      <c r="G16" s="2254"/>
      <c r="H16" s="1183" t="s">
        <v>758</v>
      </c>
      <c r="I16" s="1187"/>
      <c r="J16" s="2253"/>
      <c r="K16" s="3503" t="s">
        <v>758</v>
      </c>
      <c r="L16" s="3504"/>
      <c r="M16" s="3504"/>
      <c r="N16" s="3504"/>
      <c r="O16" s="3504"/>
      <c r="P16" s="3505"/>
    </row>
    <row r="17" spans="1:19" ht="14.25">
      <c r="A17" s="29" t="s">
        <v>889</v>
      </c>
      <c r="B17" s="30" t="s">
        <v>890</v>
      </c>
      <c r="C17" s="34" t="s">
        <v>2765</v>
      </c>
      <c r="D17" s="2100" t="s">
        <v>870</v>
      </c>
      <c r="E17" s="2098" t="s">
        <v>871</v>
      </c>
      <c r="F17" s="36"/>
      <c r="G17" s="37"/>
      <c r="H17" s="1188" t="s">
        <v>891</v>
      </c>
      <c r="I17" s="1189" t="s">
        <v>370</v>
      </c>
      <c r="J17" s="2253"/>
      <c r="K17" s="3500" t="s">
        <v>897</v>
      </c>
      <c r="L17" s="3501"/>
      <c r="M17" s="3502"/>
      <c r="N17" s="3500" t="s">
        <v>3094</v>
      </c>
      <c r="O17" s="3501"/>
      <c r="P17" s="3502"/>
      <c r="R17" s="2514" t="s">
        <v>2766</v>
      </c>
      <c r="S17" s="360"/>
    </row>
    <row r="18" spans="1:19">
      <c r="A18" s="27"/>
      <c r="B18" s="31"/>
      <c r="C18" s="35"/>
      <c r="D18" s="2101"/>
      <c r="E18" s="2099" t="s">
        <v>892</v>
      </c>
      <c r="F18" s="15" t="s">
        <v>893</v>
      </c>
      <c r="G18" s="16" t="s">
        <v>894</v>
      </c>
      <c r="H18" s="1190" t="s">
        <v>895</v>
      </c>
      <c r="I18" s="1191" t="s">
        <v>896</v>
      </c>
      <c r="J18" s="2253"/>
      <c r="K18" s="1190" t="s">
        <v>3087</v>
      </c>
      <c r="L18" s="6" t="s">
        <v>3095</v>
      </c>
      <c r="M18" s="2843" t="s">
        <v>3093</v>
      </c>
      <c r="N18" s="1190" t="s">
        <v>3087</v>
      </c>
      <c r="O18" s="6" t="s">
        <v>3095</v>
      </c>
      <c r="P18" s="2843" t="s">
        <v>3093</v>
      </c>
      <c r="R18" s="2515" t="s">
        <v>2767</v>
      </c>
      <c r="S18" s="2515" t="s">
        <v>2768</v>
      </c>
    </row>
    <row r="19" spans="1:19" ht="14.25">
      <c r="A19" s="32"/>
      <c r="B19" s="26" t="s">
        <v>173</v>
      </c>
      <c r="C19" s="1425" t="str">
        <f>'数据-基础表'!C13</f>
        <v>住宅</v>
      </c>
      <c r="D19" s="343">
        <f>ROUND($D$3*E19/$E$3,2)</f>
        <v>11228.28</v>
      </c>
      <c r="E19" s="351">
        <f t="shared" ref="E19:E26" si="1">SUM(F19:G19)</f>
        <v>65608.850000000006</v>
      </c>
      <c r="F19" s="352">
        <f>'数据-基础表'!I13</f>
        <v>65608.850000000006</v>
      </c>
      <c r="G19" s="353"/>
      <c r="H19" s="1138">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11228.28</v>
      </c>
      <c r="S19" s="2517">
        <f t="shared" si="5"/>
        <v>65608.850000000006</v>
      </c>
    </row>
    <row r="20" spans="1:19" ht="14.25">
      <c r="A20" s="33"/>
      <c r="B20" s="26" t="s">
        <v>863</v>
      </c>
      <c r="C20" s="1425" t="str">
        <f>'数据-基础表'!C14</f>
        <v>办公（公寓）</v>
      </c>
      <c r="D20" s="343">
        <f t="shared" ref="D20:D26" si="6">ROUND($D$3*E20/$E$3,2)</f>
        <v>12503.99</v>
      </c>
      <c r="E20" s="351">
        <f t="shared" si="1"/>
        <v>73063.02</v>
      </c>
      <c r="F20" s="352">
        <f>'数据-基础表'!M14</f>
        <v>73063.02</v>
      </c>
      <c r="G20" s="353"/>
      <c r="H20" s="1138">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12503.99</v>
      </c>
      <c r="S20" s="2517">
        <f t="shared" si="5"/>
        <v>73063.02</v>
      </c>
    </row>
    <row r="21" spans="1:19" ht="14.25">
      <c r="A21" s="33"/>
      <c r="B21" s="26" t="s">
        <v>863</v>
      </c>
      <c r="C21" s="1425" t="s">
        <v>3592</v>
      </c>
      <c r="D21" s="343">
        <f t="shared" si="6"/>
        <v>0</v>
      </c>
      <c r="E21" s="351">
        <f t="shared" si="1"/>
        <v>0</v>
      </c>
      <c r="F21" s="352"/>
      <c r="G21" s="353"/>
      <c r="H21" s="1138">
        <f t="shared" si="7"/>
        <v>0</v>
      </c>
      <c r="I21" s="346">
        <f t="shared" si="2"/>
        <v>0</v>
      </c>
      <c r="J21" s="2253"/>
      <c r="K21" s="2844">
        <f t="shared" si="3"/>
        <v>0</v>
      </c>
      <c r="L21" s="2516">
        <f t="shared" si="4"/>
        <v>0</v>
      </c>
      <c r="M21" s="2862">
        <f t="shared" si="8"/>
        <v>0</v>
      </c>
      <c r="N21" s="2860"/>
      <c r="O21" s="2842"/>
      <c r="P21" s="2845">
        <f t="shared" si="9"/>
        <v>0</v>
      </c>
      <c r="R21" s="2516">
        <f t="shared" si="5"/>
        <v>0</v>
      </c>
      <c r="S21" s="2517">
        <f t="shared" si="5"/>
        <v>0</v>
      </c>
    </row>
    <row r="22" spans="1:19" ht="14.25">
      <c r="A22" s="33"/>
      <c r="B22" s="26" t="s">
        <v>863</v>
      </c>
      <c r="C22" s="1425" t="s">
        <v>3594</v>
      </c>
      <c r="D22" s="343">
        <f t="shared" si="6"/>
        <v>0</v>
      </c>
      <c r="E22" s="351">
        <f t="shared" si="1"/>
        <v>0</v>
      </c>
      <c r="F22" s="356"/>
      <c r="G22" s="357"/>
      <c r="H22" s="1138">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863</v>
      </c>
      <c r="C23" s="3325" t="str">
        <f>'数据-基础表'!C20</f>
        <v>底商</v>
      </c>
      <c r="D23" s="343">
        <f>ROUND($D$3*E23/$E$3,2)</f>
        <v>1081.78</v>
      </c>
      <c r="E23" s="351">
        <f>SUM(F23:G23)</f>
        <v>6321.0599999999995</v>
      </c>
      <c r="F23" s="356">
        <f>'数据-基础表'!K20</f>
        <v>6321.0599999999995</v>
      </c>
      <c r="G23" s="357"/>
      <c r="H23" s="1138">
        <f>ROUND($D$3*I23/$E$3,2)</f>
        <v>0</v>
      </c>
      <c r="I23" s="346">
        <f t="shared" si="2"/>
        <v>0</v>
      </c>
      <c r="J23" s="2253"/>
      <c r="K23" s="2844">
        <f t="shared" si="3"/>
        <v>0</v>
      </c>
      <c r="L23" s="2516">
        <f t="shared" si="4"/>
        <v>0</v>
      </c>
      <c r="M23" s="2862">
        <f t="shared" si="8"/>
        <v>0</v>
      </c>
      <c r="N23" s="2860"/>
      <c r="O23" s="2842"/>
      <c r="P23" s="2845">
        <f t="shared" si="9"/>
        <v>0</v>
      </c>
      <c r="R23" s="2516">
        <f t="shared" si="5"/>
        <v>1081.78</v>
      </c>
      <c r="S23" s="2517">
        <f t="shared" si="5"/>
        <v>6321.0599999999995</v>
      </c>
    </row>
    <row r="24" spans="1:19" ht="14.25">
      <c r="A24" s="33"/>
      <c r="B24" s="26" t="s">
        <v>863</v>
      </c>
      <c r="C24" s="3325"/>
      <c r="D24" s="343">
        <f>ROUND($D$3*E24/$E$3,2)</f>
        <v>0</v>
      </c>
      <c r="E24" s="351">
        <f>SUM(F24:G24)</f>
        <v>0</v>
      </c>
      <c r="F24" s="356"/>
      <c r="G24" s="357"/>
      <c r="H24" s="1138">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863</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863</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29.25" thickBot="1">
      <c r="A27" s="33"/>
      <c r="B27" s="23"/>
      <c r="C27" s="2815" t="s">
        <v>864</v>
      </c>
      <c r="D27" s="2847">
        <f>SUM(D19:D26)</f>
        <v>24814.05</v>
      </c>
      <c r="E27" s="2848">
        <f>IF(SUM(E19:E26)='数据-基础表'!BA5,SUM(E19:E26),IF(F27="地上面积有误","面积有误","地下面积有误"))</f>
        <v>144992.93</v>
      </c>
      <c r="F27" s="2847">
        <f>IF(SUM(F19:F26)=E8,SUM(F19:F26),"地上面积有误")</f>
        <v>144992.93</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t="str">
        <f>IF(SUM(R19:R26)=$D$3,SUM(R19:R26),SUM(R19:R26)&amp;"误差"&amp;ROUND(SUM(R19:R26)-$D$3,2))</f>
        <v>24814.05误差-0.01</v>
      </c>
      <c r="S27" s="2516">
        <f>IF(SUM(S19:S26)=$E$3,SUM(S19:S26),SUM(S19:S26)&amp;"误差"&amp;ROUND(SUM(S19:S26)-E3,2))</f>
        <v>144992.93</v>
      </c>
    </row>
    <row r="28" spans="1:19" ht="14.25">
      <c r="A28" s="33"/>
      <c r="B28" s="26" t="s">
        <v>865</v>
      </c>
      <c r="C28" s="5" t="s">
        <v>866</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865</v>
      </c>
      <c r="C29" s="13" t="s">
        <v>2769</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864</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2"/>
      <c r="B31" s="2555"/>
      <c r="C31" s="2556" t="s">
        <v>867</v>
      </c>
      <c r="D31" s="1193">
        <f>D27+D30</f>
        <v>24814.05</v>
      </c>
      <c r="E31" s="1193">
        <f>E27+E30</f>
        <v>144992.93</v>
      </c>
      <c r="F31" s="1194">
        <f>F27+F30</f>
        <v>144992.93</v>
      </c>
      <c r="G31" s="1195">
        <f>G27+G30</f>
        <v>0</v>
      </c>
      <c r="H31" s="2253"/>
      <c r="I31" s="2253"/>
      <c r="J31" s="2253"/>
      <c r="K31" s="2253"/>
      <c r="L31" s="2253"/>
      <c r="M31" s="2253"/>
      <c r="N31" s="2253"/>
      <c r="O31" s="2253"/>
      <c r="P31" s="2253"/>
    </row>
    <row r="32" spans="1:19" ht="14.25">
      <c r="A32" s="1186"/>
      <c r="B32" s="1186" t="s">
        <v>3110</v>
      </c>
      <c r="C32" s="1186"/>
      <c r="D32" s="1186"/>
      <c r="E32" s="2554">
        <f>SUMIF(C19:C26,"*住宅*",E19:E26)</f>
        <v>65608.850000000006</v>
      </c>
      <c r="F32" s="1186"/>
      <c r="G32" s="1186"/>
      <c r="H32" s="2253"/>
      <c r="I32" s="2253"/>
      <c r="J32" s="2253"/>
      <c r="K32" s="2253"/>
      <c r="L32" s="2253"/>
      <c r="M32" s="2253"/>
      <c r="N32" s="2253"/>
      <c r="O32" s="2253"/>
      <c r="P32" s="2253"/>
    </row>
    <row r="33" spans="4:5">
      <c r="D33" s="2256"/>
    </row>
    <row r="37" spans="4:5">
      <c r="E37" s="2251">
        <v>183000</v>
      </c>
    </row>
    <row r="38" spans="4:5">
      <c r="E38" s="3380">
        <f>E37+E31</f>
        <v>327992.93</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10" sqref="Q10"/>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4" width="7.25" style="1198" customWidth="1"/>
    <col min="35" max="39" width="8" style="1198" customWidth="1"/>
    <col min="40" max="40" width="13.75" style="2266"/>
    <col min="41" max="41" width="11.625" style="2266" customWidth="1"/>
    <col min="42" max="42" width="9.75" style="2266" customWidth="1"/>
    <col min="43" max="67" width="13.75" style="2266"/>
    <col min="68" max="16384" width="13.75" style="1198"/>
  </cols>
  <sheetData>
    <row r="1" spans="1:67" ht="19.5" thickBot="1">
      <c r="A1" s="44" t="s">
        <v>898</v>
      </c>
      <c r="B1" s="1197"/>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0" customFormat="1" ht="15" thickBot="1">
      <c r="A2" s="45" t="s">
        <v>899</v>
      </c>
      <c r="B2" s="2545">
        <f>项目基本情况!D3</f>
        <v>42959</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0" customFormat="1" ht="14.25" thickBot="1">
      <c r="A3" s="1201"/>
      <c r="B3" s="1199"/>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0" customFormat="1" ht="14.25" thickBot="1">
      <c r="A4" s="46" t="s">
        <v>900</v>
      </c>
      <c r="B4" s="280"/>
      <c r="C4" s="281"/>
      <c r="D4" s="1202"/>
      <c r="E4" s="281" t="s">
        <v>761</v>
      </c>
      <c r="F4" s="281"/>
      <c r="G4" s="281"/>
      <c r="H4" s="281"/>
      <c r="I4" s="281"/>
      <c r="J4" s="282"/>
      <c r="K4" s="1203"/>
      <c r="L4" s="1204"/>
      <c r="M4" s="281"/>
      <c r="N4" s="281" t="s">
        <v>762</v>
      </c>
      <c r="O4" s="281"/>
      <c r="P4" s="281"/>
      <c r="Q4" s="281"/>
      <c r="R4" s="281"/>
      <c r="S4" s="282"/>
      <c r="T4" s="1205"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7" customFormat="1" ht="54">
      <c r="A5" s="47" t="s">
        <v>2771</v>
      </c>
      <c r="B5" s="48" t="s">
        <v>904</v>
      </c>
      <c r="C5" s="49" t="s">
        <v>905</v>
      </c>
      <c r="D5" s="50" t="s">
        <v>906</v>
      </c>
      <c r="E5" s="51" t="s">
        <v>907</v>
      </c>
      <c r="F5" s="52" t="s">
        <v>908</v>
      </c>
      <c r="G5" s="51" t="s">
        <v>909</v>
      </c>
      <c r="H5" s="51" t="s">
        <v>910</v>
      </c>
      <c r="I5" s="51" t="s">
        <v>911</v>
      </c>
      <c r="J5" s="53" t="s">
        <v>912</v>
      </c>
      <c r="K5" s="54" t="s">
        <v>913</v>
      </c>
      <c r="L5" s="55" t="s">
        <v>914</v>
      </c>
      <c r="M5" s="56" t="s">
        <v>915</v>
      </c>
      <c r="N5" s="1206" t="s">
        <v>3379</v>
      </c>
      <c r="O5" s="55" t="s">
        <v>916</v>
      </c>
      <c r="P5" s="57" t="s">
        <v>917</v>
      </c>
      <c r="Q5" s="58" t="s">
        <v>918</v>
      </c>
      <c r="R5" s="278" t="s">
        <v>919</v>
      </c>
      <c r="S5" s="59" t="s">
        <v>3088</v>
      </c>
      <c r="T5" s="279" t="s">
        <v>920</v>
      </c>
      <c r="U5" s="2546" t="s">
        <v>2777</v>
      </c>
      <c r="V5" s="51" t="s">
        <v>921</v>
      </c>
      <c r="W5" s="2547" t="s">
        <v>2778</v>
      </c>
      <c r="X5" s="62"/>
      <c r="Y5" s="60" t="s">
        <v>922</v>
      </c>
      <c r="Z5" s="61" t="s">
        <v>923</v>
      </c>
      <c r="AA5" s="51" t="s">
        <v>921</v>
      </c>
      <c r="AB5" s="2547" t="s">
        <v>2778</v>
      </c>
      <c r="AC5" s="62"/>
      <c r="AD5" s="62" t="s">
        <v>922</v>
      </c>
      <c r="AE5" s="14" t="s">
        <v>763</v>
      </c>
      <c r="AF5" s="51" t="s">
        <v>924</v>
      </c>
      <c r="AG5" s="60" t="s">
        <v>925</v>
      </c>
      <c r="AH5" s="14" t="s">
        <v>2782</v>
      </c>
      <c r="AI5" s="61" t="s">
        <v>2692</v>
      </c>
      <c r="AJ5" s="61" t="s">
        <v>926</v>
      </c>
      <c r="AK5" s="2547" t="s">
        <v>2779</v>
      </c>
      <c r="AL5" s="2547" t="s">
        <v>2780</v>
      </c>
      <c r="AM5" s="366" t="s">
        <v>2781</v>
      </c>
      <c r="AN5" s="2607" t="s">
        <v>2833</v>
      </c>
      <c r="AO5" s="2037" t="s">
        <v>3079</v>
      </c>
      <c r="AP5" s="2931" t="s">
        <v>3089</v>
      </c>
      <c r="AQ5" s="2932" t="s">
        <v>3202</v>
      </c>
      <c r="AR5" s="2932" t="s">
        <v>3203</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0" customFormat="1" ht="14.25">
      <c r="A6" s="2544" t="str">
        <f>'数据-汇总表'!C19</f>
        <v>住宅</v>
      </c>
      <c r="B6" s="2522" t="str">
        <f>IF(A6=0,"","经营性")</f>
        <v>经营性</v>
      </c>
      <c r="C6" s="39" t="s">
        <v>42</v>
      </c>
      <c r="D6" s="2081">
        <f>SUMIF(项目基本情况!D$12:I$12,C6,项目基本情况!D$14:I$14)</f>
        <v>70</v>
      </c>
      <c r="E6" s="2075">
        <f>IF(B6="","",SUMIF(项目基本情况!D$12:I$12,C6,项目基本情况!D$13:I$13))</f>
        <v>68099</v>
      </c>
      <c r="F6" s="368">
        <f>SUMIF(项目基本情况!D$12:I$12,C6,项目基本情况!D$15:I$15)</f>
        <v>68.87</v>
      </c>
      <c r="G6" s="369">
        <f>IF(ISERROR(ROUND(POWER(1+H6,D6-F6)*(POWER(1+H6,F6)-1)/(POWER(1+H6,D6)-1),3)),0,ROUND(POWER(1+H6,D6-F6)*(POWER(1+H6,F6)-1)/(POWER(1+H6,D6)-1),3))</f>
        <v>0.997</v>
      </c>
      <c r="H6" s="1501">
        <v>0.04</v>
      </c>
      <c r="I6" s="1501">
        <v>0.05</v>
      </c>
      <c r="J6" s="370">
        <v>8.5000000000000006E-2</v>
      </c>
      <c r="K6" s="2525">
        <f>SUMIF('数据-汇总表'!C$19:C$33,A6,'数据-汇总表'!E$19:E$33)</f>
        <v>65608.850000000006</v>
      </c>
      <c r="L6" s="1502">
        <v>2400</v>
      </c>
      <c r="M6" s="371">
        <f t="shared" ref="M6:M14" si="0">ROUND(K6*L6/10000,0)</f>
        <v>15746</v>
      </c>
      <c r="N6" s="1500">
        <v>0.75</v>
      </c>
      <c r="O6" s="371">
        <f>IF($N$5="成新度","——",ROUND(M6*N6,0))</f>
        <v>11810</v>
      </c>
      <c r="P6" s="372">
        <f>IF($N$5="成新度","——",M6-O6)</f>
        <v>3936</v>
      </c>
      <c r="Q6" s="1503">
        <v>0.15</v>
      </c>
      <c r="R6" s="373">
        <f ca="1">SUMIF('数据-汇总表'!C$19:C$33,A6,'数据-汇总表'!R$19:R$27)</f>
        <v>11228.28</v>
      </c>
      <c r="S6" s="349">
        <f>IF('数据-汇总表'!$I$17="按面积比例",SUMIF('数据-汇总表'!C$19:C$33,A6,'数据-汇总表'!K$19:K$33),SUMIF('数据-汇总表'!C$19:C$33,A6,'数据-汇总表'!N$19:N$33))</f>
        <v>0</v>
      </c>
      <c r="T6" s="2930">
        <f>ROUND($L$14*S6/10000,0)</f>
        <v>0</v>
      </c>
      <c r="U6" s="374"/>
      <c r="V6" s="375">
        <v>0.03</v>
      </c>
      <c r="W6" s="375">
        <v>0.1</v>
      </c>
      <c r="X6" s="2535"/>
      <c r="Y6" s="376">
        <v>1</v>
      </c>
      <c r="Z6" s="377"/>
      <c r="AA6" s="370"/>
      <c r="AB6" s="370"/>
      <c r="AC6" s="2535"/>
      <c r="AD6" s="378"/>
      <c r="AE6" s="2536">
        <f ca="1">IF(AN6="",0,SUMIF(INDIRECT("'"&amp;AN6&amp;"'"&amp;"!E:E"),$AE$5,INDIRECT("'"&amp;AN6&amp;"'"&amp;"!F:F")))</f>
        <v>0</v>
      </c>
      <c r="AF6" s="358"/>
      <c r="AG6" s="482">
        <f>IF(AF6="",0,AE6-AF6)</f>
        <v>0</v>
      </c>
      <c r="AH6" s="379"/>
      <c r="AI6" s="381">
        <v>365</v>
      </c>
      <c r="AJ6" s="382"/>
      <c r="AK6" s="383">
        <v>1.4999999999999999E-2</v>
      </c>
      <c r="AL6" s="384">
        <v>3.0000000000000001E-3</v>
      </c>
      <c r="AM6" s="385">
        <v>0.02</v>
      </c>
      <c r="AN6" s="2608" t="s">
        <v>3488</v>
      </c>
      <c r="AO6" s="350">
        <f ca="1">SUMIF(INDIRECT("'"&amp;AN6&amp;"'"&amp;"!A:A"),"总价",INDIRECT("'"&amp;AN6&amp;"'"&amp;"!B:B"))</f>
        <v>126186</v>
      </c>
      <c r="AP6" s="2933">
        <f>IF(C6="住宅",K6*L6,0)</f>
        <v>157461240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0" customFormat="1" ht="14.25">
      <c r="A7" s="2544" t="str">
        <f>'数据-汇总表'!C20</f>
        <v>办公（公寓）</v>
      </c>
      <c r="B7" s="2522" t="str">
        <f t="shared" ref="B7:B13" si="1">IF(A7=0,"","经营性")</f>
        <v>经营性</v>
      </c>
      <c r="C7" s="39" t="s">
        <v>43</v>
      </c>
      <c r="D7" s="2081">
        <f>SUMIF(项目基本情况!D$12:I$12,C7,项目基本情况!D$14:I$14)</f>
        <v>40</v>
      </c>
      <c r="E7" s="2075">
        <f>IF(B7="","",SUMIF(项目基本情况!D$12:I$12,C7,项目基本情况!D$13:I$13))</f>
        <v>57142</v>
      </c>
      <c r="F7" s="368">
        <f>SUMIF(项目基本情况!D$12:I$12,C7,项目基本情况!D$15:I$15)</f>
        <v>38.85</v>
      </c>
      <c r="G7" s="369">
        <f t="shared" ref="G7:G11" si="2">IF(ISERROR(ROUND(POWER(1+H7,D7-F7)*(POWER(1+H7,F7)-1)/(POWER(1+H7,D7)-1),3)),0,ROUND(POWER(1+H7,D7-F7)*(POWER(1+H7,F7)-1)/(POWER(1+H7,D7)-1),3))</f>
        <v>0.98899999999999999</v>
      </c>
      <c r="H7" s="1501">
        <v>4.4999999999999998E-2</v>
      </c>
      <c r="I7" s="1501">
        <v>5.5E-2</v>
      </c>
      <c r="J7" s="370">
        <v>8.5000000000000006E-2</v>
      </c>
      <c r="K7" s="2525">
        <f>SUMIF('数据-汇总表'!C$19:C$33,A7,'数据-汇总表'!E$19:E$33)</f>
        <v>73063.02</v>
      </c>
      <c r="L7" s="1502">
        <v>3000</v>
      </c>
      <c r="M7" s="371">
        <f t="shared" si="0"/>
        <v>21919</v>
      </c>
      <c r="N7" s="1500">
        <v>0.75</v>
      </c>
      <c r="O7" s="371">
        <f t="shared" ref="O7:O14" si="3">IF($N$5="成新度","——",ROUND(M7*N7,0))</f>
        <v>16439</v>
      </c>
      <c r="P7" s="372">
        <f t="shared" ref="P7:P14" si="4">IF($N$5="成新度","——",M7-O7)</f>
        <v>5480</v>
      </c>
      <c r="Q7" s="1503">
        <v>0.15</v>
      </c>
      <c r="R7" s="373">
        <f ca="1">SUMIF('数据-汇总表'!C$19:C$33,A7,'数据-汇总表'!R$19:R$27)</f>
        <v>12503.99</v>
      </c>
      <c r="S7" s="349">
        <f>IF('数据-汇总表'!$I$17="按面积比例",SUMIF('数据-汇总表'!C$19:C$33,A7,'数据-汇总表'!K$19:K$33),SUMIF('数据-汇总表'!C$19:C$33,A7,'数据-汇总表'!N$19:N$33))</f>
        <v>0</v>
      </c>
      <c r="T7" s="2930">
        <f t="shared" ref="T7:T13" si="5">ROUND($L$14*S7/10000,0)</f>
        <v>0</v>
      </c>
      <c r="U7" s="3336"/>
      <c r="V7" s="375">
        <v>0.03</v>
      </c>
      <c r="W7" s="375">
        <v>0.15</v>
      </c>
      <c r="X7" s="2535"/>
      <c r="Y7" s="376">
        <v>1</v>
      </c>
      <c r="Z7" s="377"/>
      <c r="AA7" s="370"/>
      <c r="AB7" s="370"/>
      <c r="AC7" s="2535"/>
      <c r="AD7" s="378"/>
      <c r="AE7" s="2536">
        <f t="shared" ref="AE7:AE13" ca="1" si="6">IF(AN7="",0,SUMIF(INDIRECT("'"&amp;AN7&amp;"'"&amp;"!E:E"),$AE$5,INDIRECT("'"&amp;AN7&amp;"'"&amp;"!F:F")))</f>
        <v>0</v>
      </c>
      <c r="AF7" s="358"/>
      <c r="AG7" s="482">
        <f t="shared" ref="AG7:AG13" si="7">IF(AF7="",0,AE7-AF7)</f>
        <v>0</v>
      </c>
      <c r="AH7" s="379"/>
      <c r="AI7" s="381">
        <v>365</v>
      </c>
      <c r="AJ7" s="382"/>
      <c r="AK7" s="383">
        <v>1.4999999999999999E-2</v>
      </c>
      <c r="AL7" s="384">
        <v>3.0000000000000001E-3</v>
      </c>
      <c r="AM7" s="385">
        <v>0.02</v>
      </c>
      <c r="AN7" s="2608" t="s">
        <v>3491</v>
      </c>
      <c r="AO7" s="350">
        <f t="shared" ref="AO7:AO13" ca="1" si="8">SUMIF(INDIRECT("'"&amp;AN7&amp;"'"&amp;"!A:A"),"总价",INDIRECT("'"&amp;AN7&amp;"'"&amp;"!B:B"))</f>
        <v>117726</v>
      </c>
      <c r="AP7" s="2933">
        <f t="shared" ref="AP7:AP13" si="9">IF(C7="住宅",K7*L7,0)</f>
        <v>0</v>
      </c>
      <c r="AQ7" s="350">
        <f t="shared" ref="AQ7:AQ13" si="10">ROUND($L$14*$N$14*S7/10000,0)</f>
        <v>0</v>
      </c>
      <c r="AR7" s="350">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0" customFormat="1" ht="14.25">
      <c r="A8" s="2544" t="str">
        <f>'数据-汇总表'!C21</f>
        <v>安置住宅</v>
      </c>
      <c r="B8" s="2522" t="str">
        <f t="shared" si="1"/>
        <v>经营性</v>
      </c>
      <c r="C8" s="39" t="s">
        <v>43</v>
      </c>
      <c r="D8" s="2081">
        <f>SUMIF(项目基本情况!D$12:I$12,C8,项目基本情况!D$14:I$14)</f>
        <v>40</v>
      </c>
      <c r="E8" s="2075">
        <f>IF(B8="","",SUMIF(项目基本情况!D$12:I$12,C8,项目基本情况!D$13:I$13))</f>
        <v>57142</v>
      </c>
      <c r="F8" s="368">
        <f>SUMIF(项目基本情况!D$12:I$12,C8,项目基本情况!D$15:I$15)</f>
        <v>38.85</v>
      </c>
      <c r="G8" s="369">
        <f t="shared" si="2"/>
        <v>0</v>
      </c>
      <c r="H8" s="1501"/>
      <c r="I8" s="1501"/>
      <c r="J8" s="370"/>
      <c r="K8" s="2525">
        <f>SUMIF('数据-汇总表'!C$19:C$33,A8,'数据-汇总表'!E$19:E$33)</f>
        <v>0</v>
      </c>
      <c r="L8" s="1502"/>
      <c r="M8" s="371">
        <f>ROUND(K8*L8/10000,0)</f>
        <v>0</v>
      </c>
      <c r="N8" s="1500"/>
      <c r="O8" s="371">
        <f t="shared" si="3"/>
        <v>0</v>
      </c>
      <c r="P8" s="372">
        <f t="shared" si="4"/>
        <v>0</v>
      </c>
      <c r="Q8" s="1503">
        <v>0</v>
      </c>
      <c r="R8" s="373">
        <f ca="1">SUMIF('数据-汇总表'!C$19:C$33,A8,'数据-汇总表'!R$19:R$27)</f>
        <v>0</v>
      </c>
      <c r="S8" s="349">
        <f>IF('数据-汇总表'!$I$17="按面积比例",SUMIF('数据-汇总表'!C$19:C$33,A8,'数据-汇总表'!K$19:K$33),SUMIF('数据-汇总表'!C$19:C$33,A8,'数据-汇总表'!N$19:N$33))</f>
        <v>0</v>
      </c>
      <c r="T8" s="2930">
        <f t="shared" si="5"/>
        <v>0</v>
      </c>
      <c r="U8" s="1504">
        <v>3.5</v>
      </c>
      <c r="V8" s="1505">
        <v>0.03</v>
      </c>
      <c r="W8" s="375">
        <v>0.1</v>
      </c>
      <c r="X8" s="2535"/>
      <c r="Y8" s="376">
        <v>1</v>
      </c>
      <c r="Z8" s="377"/>
      <c r="AA8" s="370"/>
      <c r="AB8" s="370"/>
      <c r="AC8" s="2535"/>
      <c r="AD8" s="378"/>
      <c r="AE8" s="2536" t="e">
        <f t="shared" ca="1" si="6"/>
        <v>#N/A</v>
      </c>
      <c r="AF8" s="358"/>
      <c r="AG8" s="482">
        <f t="shared" si="7"/>
        <v>0</v>
      </c>
      <c r="AH8" s="1506"/>
      <c r="AI8" s="381">
        <v>365</v>
      </c>
      <c r="AJ8" s="382"/>
      <c r="AK8" s="383">
        <v>1.4999999999999999E-2</v>
      </c>
      <c r="AL8" s="384">
        <v>3.0000000000000001E-3</v>
      </c>
      <c r="AM8" s="385">
        <v>0.02</v>
      </c>
      <c r="AN8" s="2608" t="s">
        <v>3381</v>
      </c>
      <c r="AO8" s="350" t="e">
        <f t="shared" ca="1" si="8"/>
        <v>#N/A</v>
      </c>
      <c r="AP8" s="2933">
        <f t="shared" si="9"/>
        <v>0</v>
      </c>
      <c r="AQ8" s="350">
        <f t="shared" si="10"/>
        <v>0</v>
      </c>
      <c r="AR8" s="350">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0" customFormat="1" ht="14.25">
      <c r="A9" s="2544" t="str">
        <f>'数据-汇总表'!C22</f>
        <v>安置办公</v>
      </c>
      <c r="B9" s="2522" t="str">
        <f t="shared" si="1"/>
        <v>经营性</v>
      </c>
      <c r="C9" s="39" t="s">
        <v>42</v>
      </c>
      <c r="D9" s="2081">
        <f>SUMIF(项目基本情况!D$12:I$12,C9,项目基本情况!D$14:I$14)</f>
        <v>70</v>
      </c>
      <c r="E9" s="2075">
        <f>IF(B9="","",SUMIF(项目基本情况!D$12:I$12,C9,项目基本情况!D$13:I$13))</f>
        <v>68099</v>
      </c>
      <c r="F9" s="368">
        <f>SUMIF(项目基本情况!D$12:I$12,C9,项目基本情况!D$15:I$15)</f>
        <v>68.87</v>
      </c>
      <c r="G9" s="369">
        <f t="shared" si="2"/>
        <v>0</v>
      </c>
      <c r="H9" s="1501"/>
      <c r="I9" s="1501"/>
      <c r="J9" s="370"/>
      <c r="K9" s="2525">
        <f>SUMIF('数据-汇总表'!C$19:C$33,A9,'数据-汇总表'!E$19:E$33)</f>
        <v>0</v>
      </c>
      <c r="L9" s="1502"/>
      <c r="M9" s="371">
        <f t="shared" si="0"/>
        <v>0</v>
      </c>
      <c r="N9" s="1500"/>
      <c r="O9" s="371">
        <f t="shared" si="3"/>
        <v>0</v>
      </c>
      <c r="P9" s="372">
        <f t="shared" si="4"/>
        <v>0</v>
      </c>
      <c r="Q9" s="386">
        <v>0</v>
      </c>
      <c r="R9" s="373">
        <f ca="1">SUMIF('数据-汇总表'!C$19:C$33,A9,'数据-汇总表'!R$19:R$27)</f>
        <v>0</v>
      </c>
      <c r="S9" s="349">
        <f>IF('数据-汇总表'!$I$17="按面积比例",SUMIF('数据-汇总表'!C$19:C$33,A9,'数据-汇总表'!K$19:K$33),SUMIF('数据-汇总表'!C$19:C$33,A9,'数据-汇总表'!N$19:N$33))</f>
        <v>0</v>
      </c>
      <c r="T9" s="2930">
        <f t="shared" si="5"/>
        <v>0</v>
      </c>
      <c r="U9" s="3336"/>
      <c r="V9" s="375">
        <v>0.03</v>
      </c>
      <c r="W9" s="375">
        <v>0.1</v>
      </c>
      <c r="X9" s="2535"/>
      <c r="Y9" s="376">
        <v>1</v>
      </c>
      <c r="Z9" s="377"/>
      <c r="AA9" s="370"/>
      <c r="AB9" s="370"/>
      <c r="AC9" s="2535"/>
      <c r="AD9" s="378"/>
      <c r="AE9" s="2536" t="e">
        <f t="shared" ca="1" si="6"/>
        <v>#REF!</v>
      </c>
      <c r="AF9" s="358"/>
      <c r="AG9" s="482">
        <f t="shared" si="7"/>
        <v>0</v>
      </c>
      <c r="AH9" s="379"/>
      <c r="AI9" s="381">
        <v>365</v>
      </c>
      <c r="AJ9" s="382"/>
      <c r="AK9" s="383">
        <v>1.4999999999999999E-2</v>
      </c>
      <c r="AL9" s="384">
        <v>3.0000000000000001E-3</v>
      </c>
      <c r="AM9" s="385">
        <v>0.02</v>
      </c>
      <c r="AN9" s="2608" t="s">
        <v>3489</v>
      </c>
      <c r="AO9" s="350" t="e">
        <f t="shared" ca="1" si="8"/>
        <v>#REF!</v>
      </c>
      <c r="AP9" s="2933">
        <f t="shared" si="9"/>
        <v>0</v>
      </c>
      <c r="AQ9" s="350">
        <f t="shared" si="10"/>
        <v>0</v>
      </c>
      <c r="AR9" s="350">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0" customFormat="1" ht="14.25">
      <c r="A10" s="2544" t="str">
        <f>'数据-汇总表'!C23</f>
        <v>底商</v>
      </c>
      <c r="B10" s="2522" t="str">
        <f t="shared" si="1"/>
        <v>经营性</v>
      </c>
      <c r="C10" s="39" t="s">
        <v>43</v>
      </c>
      <c r="D10" s="2081">
        <f>SUMIF(项目基本情况!D$12:I$12,C10,项目基本情况!D$14:I$14)</f>
        <v>40</v>
      </c>
      <c r="E10" s="2075">
        <f>IF(B10="","",SUMIF(项目基本情况!D$12:I$12,C10,项目基本情况!D$13:I$13))</f>
        <v>57142</v>
      </c>
      <c r="F10" s="368">
        <f>SUMIF(项目基本情况!D$12:I$12,C10,项目基本情况!D$15:I$15)</f>
        <v>38.85</v>
      </c>
      <c r="G10" s="369">
        <f t="shared" si="2"/>
        <v>0.98899999999999999</v>
      </c>
      <c r="H10" s="1501">
        <v>4.4999999999999998E-2</v>
      </c>
      <c r="I10" s="1501">
        <v>5.5E-2</v>
      </c>
      <c r="J10" s="370">
        <v>8.5000000000000006E-2</v>
      </c>
      <c r="K10" s="2525">
        <f>SUMIF('数据-汇总表'!C$19:C$33,A10,'数据-汇总表'!E$19:E$33)</f>
        <v>6321.0599999999995</v>
      </c>
      <c r="L10" s="1502">
        <v>2800</v>
      </c>
      <c r="M10" s="371">
        <f t="shared" si="0"/>
        <v>1770</v>
      </c>
      <c r="N10" s="1500">
        <v>0.8</v>
      </c>
      <c r="O10" s="371">
        <f t="shared" si="3"/>
        <v>1416</v>
      </c>
      <c r="P10" s="372">
        <f t="shared" si="4"/>
        <v>354</v>
      </c>
      <c r="Q10" s="386">
        <v>0.3</v>
      </c>
      <c r="R10" s="373">
        <f ca="1">SUMIF('数据-汇总表'!C$19:C$33,A10,'数据-汇总表'!R$19:R$27)</f>
        <v>1081.78</v>
      </c>
      <c r="S10" s="349">
        <f>IF('数据-汇总表'!$I$17="按面积比例",SUMIF('数据-汇总表'!C$19:C$33,A10,'数据-汇总表'!K$19:K$33),SUMIF('数据-汇总表'!C$19:C$33,A10,'数据-汇总表'!N$19:N$33))</f>
        <v>0</v>
      </c>
      <c r="T10" s="2930">
        <f t="shared" si="5"/>
        <v>0</v>
      </c>
      <c r="U10" s="374">
        <v>6.5</v>
      </c>
      <c r="V10" s="375">
        <v>0.03</v>
      </c>
      <c r="W10" s="375">
        <v>0.1</v>
      </c>
      <c r="X10" s="2535"/>
      <c r="Y10" s="376">
        <v>1</v>
      </c>
      <c r="Z10" s="377"/>
      <c r="AA10" s="370"/>
      <c r="AB10" s="370"/>
      <c r="AC10" s="2535"/>
      <c r="AD10" s="378"/>
      <c r="AE10" s="2536">
        <f t="shared" ca="1" si="6"/>
        <v>38.85</v>
      </c>
      <c r="AF10" s="358"/>
      <c r="AG10" s="482">
        <f t="shared" si="7"/>
        <v>0</v>
      </c>
      <c r="AH10" s="379"/>
      <c r="AI10" s="381">
        <v>365</v>
      </c>
      <c r="AJ10" s="382"/>
      <c r="AK10" s="383">
        <v>1.4999999999999999E-2</v>
      </c>
      <c r="AL10" s="384">
        <v>3.0000000000000001E-3</v>
      </c>
      <c r="AM10" s="385">
        <v>0.02</v>
      </c>
      <c r="AN10" s="2608" t="s">
        <v>3459</v>
      </c>
      <c r="AO10" s="350">
        <f t="shared" ca="1" si="8"/>
        <v>28432</v>
      </c>
      <c r="AP10" s="2933">
        <f t="shared" si="9"/>
        <v>0</v>
      </c>
      <c r="AQ10" s="350">
        <f t="shared" si="10"/>
        <v>0</v>
      </c>
      <c r="AR10" s="350">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0" customFormat="1" ht="14.25">
      <c r="A11" s="2544">
        <f>'数据-汇总表'!C24</f>
        <v>0</v>
      </c>
      <c r="B11" s="2522" t="str">
        <f t="shared" si="1"/>
        <v/>
      </c>
      <c r="C11" s="39" t="s">
        <v>43</v>
      </c>
      <c r="D11" s="2081">
        <f>SUMIF(项目基本情况!D$12:I$12,C11,项目基本情况!D$14:I$14)</f>
        <v>40</v>
      </c>
      <c r="E11" s="2075" t="str">
        <f>IF(B11="","",SUMIF(项目基本情况!D$12:I$12,C11,项目基本情况!D$13:I$13))</f>
        <v/>
      </c>
      <c r="F11" s="368">
        <f>SUMIF(项目基本情况!D$12:I$12,C11,项目基本情况!D$15:I$15)</f>
        <v>38.85</v>
      </c>
      <c r="G11" s="369">
        <f t="shared" si="2"/>
        <v>0</v>
      </c>
      <c r="H11" s="1501"/>
      <c r="I11" s="1501"/>
      <c r="J11" s="370"/>
      <c r="K11" s="2525">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v>600</v>
      </c>
      <c r="V11" s="370">
        <v>0.03</v>
      </c>
      <c r="W11" s="370">
        <v>0.1</v>
      </c>
      <c r="X11" s="2535"/>
      <c r="Y11" s="376">
        <v>1</v>
      </c>
      <c r="Z11" s="389"/>
      <c r="AA11" s="370"/>
      <c r="AB11" s="370"/>
      <c r="AC11" s="2535"/>
      <c r="AD11" s="378"/>
      <c r="AE11" s="2536" t="e">
        <f t="shared" ca="1" si="6"/>
        <v>#N/A</v>
      </c>
      <c r="AF11" s="358"/>
      <c r="AG11" s="482">
        <f t="shared" si="7"/>
        <v>0</v>
      </c>
      <c r="AH11" s="379">
        <v>5202</v>
      </c>
      <c r="AI11" s="381">
        <v>12</v>
      </c>
      <c r="AJ11" s="382"/>
      <c r="AK11" s="383">
        <v>1.4999999999999999E-2</v>
      </c>
      <c r="AL11" s="384">
        <v>3.0000000000000001E-3</v>
      </c>
      <c r="AM11" s="385">
        <v>0.02</v>
      </c>
      <c r="AN11" s="2608" t="s">
        <v>3533</v>
      </c>
      <c r="AO11" s="350" t="e">
        <f t="shared" ca="1" si="8"/>
        <v>#N/A</v>
      </c>
      <c r="AP11" s="2933">
        <f t="shared" si="9"/>
        <v>0</v>
      </c>
      <c r="AQ11" s="350">
        <f t="shared" si="10"/>
        <v>0</v>
      </c>
      <c r="AR11" s="350">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0" customFormat="1" ht="14.25">
      <c r="A12" s="2544">
        <f>'数据-汇总表'!C25</f>
        <v>0</v>
      </c>
      <c r="B12" s="2522" t="str">
        <f t="shared" si="1"/>
        <v/>
      </c>
      <c r="C12" s="39"/>
      <c r="D12" s="2081">
        <f>SUMIF(项目基本情况!D$12:I$12,C12,项目基本情况!D$14:I$14)</f>
        <v>0</v>
      </c>
      <c r="E12" s="2075"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6"/>
        <v>0</v>
      </c>
      <c r="AF12" s="358"/>
      <c r="AG12" s="482">
        <f t="shared" si="7"/>
        <v>0</v>
      </c>
      <c r="AH12" s="379"/>
      <c r="AI12" s="381"/>
      <c r="AJ12" s="382"/>
      <c r="AK12" s="390"/>
      <c r="AL12" s="391"/>
      <c r="AM12" s="392"/>
      <c r="AN12" s="2608"/>
      <c r="AO12" s="350" t="e">
        <f t="shared" ca="1" si="8"/>
        <v>#REF!</v>
      </c>
      <c r="AP12" s="2933">
        <f t="shared" si="9"/>
        <v>0</v>
      </c>
      <c r="AQ12" s="350">
        <f t="shared" si="10"/>
        <v>0</v>
      </c>
      <c r="AR12" s="350">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0" customFormat="1" ht="14.25">
      <c r="A13" s="2544">
        <f>'数据-汇总表'!C26</f>
        <v>0</v>
      </c>
      <c r="B13" s="2522" t="str">
        <f t="shared" si="1"/>
        <v/>
      </c>
      <c r="C13" s="39"/>
      <c r="D13" s="2081">
        <f>SUMIF(项目基本情况!D$12:I$12,C13,项目基本情况!D$14:I$14)</f>
        <v>0</v>
      </c>
      <c r="E13" s="2075"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6"/>
        <v>0</v>
      </c>
      <c r="AF13" s="358"/>
      <c r="AG13" s="482">
        <f t="shared" si="7"/>
        <v>0</v>
      </c>
      <c r="AH13" s="379"/>
      <c r="AI13" s="381"/>
      <c r="AJ13" s="382"/>
      <c r="AK13" s="383"/>
      <c r="AL13" s="384"/>
      <c r="AM13" s="385"/>
      <c r="AN13" s="2608"/>
      <c r="AO13" s="350" t="e">
        <f t="shared" ca="1" si="8"/>
        <v>#REF!</v>
      </c>
      <c r="AP13" s="2933">
        <f t="shared" si="9"/>
        <v>0</v>
      </c>
      <c r="AQ13" s="350">
        <f t="shared" si="10"/>
        <v>0</v>
      </c>
      <c r="AR13" s="350">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0" customFormat="1" ht="14.25">
      <c r="A14" s="2519" t="s">
        <v>760</v>
      </c>
      <c r="B14" s="2522" t="s">
        <v>759</v>
      </c>
      <c r="C14" s="2523" t="s">
        <v>760</v>
      </c>
      <c r="D14" s="2081"/>
      <c r="E14" s="2075"/>
      <c r="F14" s="368"/>
      <c r="G14" s="369"/>
      <c r="H14" s="2524"/>
      <c r="I14" s="2524"/>
      <c r="J14" s="2524"/>
      <c r="K14" s="2525">
        <f>SUMIF('数据-汇总表'!C$19:C$33,A14,'数据-汇总表'!E$19:E$33)</f>
        <v>0</v>
      </c>
      <c r="L14" s="387"/>
      <c r="M14" s="371">
        <f t="shared" si="0"/>
        <v>0</v>
      </c>
      <c r="N14" s="388"/>
      <c r="O14" s="371">
        <f t="shared" si="3"/>
        <v>0</v>
      </c>
      <c r="P14" s="372">
        <f t="shared" si="4"/>
        <v>0</v>
      </c>
      <c r="Q14" s="2528"/>
      <c r="R14" s="373"/>
      <c r="S14" s="349"/>
      <c r="T14" s="2930"/>
      <c r="U14" s="1138"/>
      <c r="V14" s="2530"/>
      <c r="W14" s="2530"/>
      <c r="X14" s="2531"/>
      <c r="Y14" s="2532"/>
      <c r="Z14" s="2533"/>
      <c r="AA14" s="2534"/>
      <c r="AB14" s="2534"/>
      <c r="AC14" s="2535"/>
      <c r="AD14" s="2531"/>
      <c r="AE14" s="2536"/>
      <c r="AF14" s="350"/>
      <c r="AG14" s="482"/>
      <c r="AH14" s="2536"/>
      <c r="AI14" s="2540"/>
      <c r="AJ14" s="1326"/>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0" customFormat="1" ht="27">
      <c r="A15" s="2519" t="s">
        <v>2770</v>
      </c>
      <c r="B15" s="2522" t="s">
        <v>759</v>
      </c>
      <c r="C15" s="2523" t="s">
        <v>2463</v>
      </c>
      <c r="D15" s="2081"/>
      <c r="E15" s="2075"/>
      <c r="F15" s="368"/>
      <c r="G15" s="369"/>
      <c r="H15" s="2524"/>
      <c r="I15" s="2524"/>
      <c r="J15" s="2524"/>
      <c r="K15" s="2525">
        <f>SUMIF('数据-汇总表'!C$19:C$33,A15,'数据-汇总表'!E$19:E$33)</f>
        <v>0</v>
      </c>
      <c r="L15" s="2526"/>
      <c r="M15" s="371"/>
      <c r="N15" s="2527"/>
      <c r="O15" s="371"/>
      <c r="P15" s="372"/>
      <c r="Q15" s="2528"/>
      <c r="R15" s="373"/>
      <c r="S15" s="349"/>
      <c r="T15" s="2930"/>
      <c r="U15" s="1138"/>
      <c r="V15" s="2530"/>
      <c r="W15" s="2530"/>
      <c r="X15" s="2531"/>
      <c r="Y15" s="2532"/>
      <c r="Z15" s="2533"/>
      <c r="AA15" s="2534"/>
      <c r="AB15" s="2534"/>
      <c r="AC15" s="2535"/>
      <c r="AD15" s="2531"/>
      <c r="AE15" s="2536"/>
      <c r="AF15" s="350"/>
      <c r="AG15" s="482"/>
      <c r="AH15" s="2536"/>
      <c r="AI15" s="2540"/>
      <c r="AJ15" s="1326"/>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0" customFormat="1" ht="15.75" thickBot="1">
      <c r="A16" s="64" t="s">
        <v>4</v>
      </c>
      <c r="B16" s="65"/>
      <c r="C16" s="66"/>
      <c r="D16" s="67"/>
      <c r="E16" s="65"/>
      <c r="F16" s="393"/>
      <c r="G16" s="394">
        <f>ROUND(SUMPRODUCT(G6:G13,K6:K13)/SUMPRODUCT((G6:G13&gt;0)*(K6:K13)),3)</f>
        <v>0.99299999999999999</v>
      </c>
      <c r="H16" s="395">
        <f>ROUND(SUMPRODUCT(H6:H13,K6:K13)/SUMPRODUCT((H6:H13&gt;0)*(K6:K13)),3)</f>
        <v>4.2999999999999997E-2</v>
      </c>
      <c r="I16" s="396"/>
      <c r="J16" s="396"/>
      <c r="K16" s="397">
        <f>SUM(K6:K15)</f>
        <v>144992.93</v>
      </c>
      <c r="L16" s="398">
        <f>ROUND(M16*10000/SUM(K6:K14),0)</f>
        <v>2720</v>
      </c>
      <c r="M16" s="398">
        <f>SUM(M6:M14)</f>
        <v>39435</v>
      </c>
      <c r="N16" s="399">
        <f>ROUND(SUMPRODUCT(M6:M14,N6:N14)/M16,3)</f>
        <v>0.752</v>
      </c>
      <c r="O16" s="398">
        <f>SUM(O6:O14)</f>
        <v>29665</v>
      </c>
      <c r="P16" s="398">
        <f>SUM(P6:P14)</f>
        <v>9770</v>
      </c>
      <c r="Q16" s="400">
        <f>ROUND(SUMPRODUCT(Q6:Q13,K6:K13)/SUMPRODUCT((Q6:Q13&gt;0)*(K6:K13)),2)</f>
        <v>0.16</v>
      </c>
      <c r="R16" s="2529">
        <f ca="1">SUM(R6:R13)</f>
        <v>24814.05</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08"/>
      <c r="B17" s="1197"/>
      <c r="C17" s="2257"/>
      <c r="D17" s="2258"/>
      <c r="E17" s="2258"/>
      <c r="F17" s="2257"/>
      <c r="G17" s="2257"/>
      <c r="H17" s="2257"/>
      <c r="I17" s="2257"/>
      <c r="J17" s="2257"/>
      <c r="K17" s="2259"/>
      <c r="L17" s="2259"/>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199"/>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2787</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927</v>
      </c>
      <c r="B20" s="409">
        <v>2.5</v>
      </c>
      <c r="C20" s="2260" t="s">
        <v>2788</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928</v>
      </c>
      <c r="B21" s="409">
        <v>2.2000000000000002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929</v>
      </c>
      <c r="B22" s="410">
        <f>B19+B20</f>
        <v>2.5</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930</v>
      </c>
      <c r="B23" s="410">
        <f>B19+B21</f>
        <v>2.2000000000000002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931</v>
      </c>
      <c r="B24" s="411">
        <f>B20-B21</f>
        <v>0.29999999999999982</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1"/>
      <c r="B25" s="1199"/>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932</v>
      </c>
      <c r="B26" s="72" t="s">
        <v>933</v>
      </c>
      <c r="C26" s="2263" t="s">
        <v>934</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09" customFormat="1" ht="27">
      <c r="A27" s="73" t="s">
        <v>935</v>
      </c>
      <c r="B27" s="3363">
        <v>170</v>
      </c>
      <c r="C27" s="2557" t="s">
        <v>936</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09" customFormat="1" ht="27">
      <c r="A28" s="74" t="s">
        <v>937</v>
      </c>
      <c r="B28" s="3364">
        <f>B27</f>
        <v>170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09" customFormat="1" ht="27.75" thickBot="1">
      <c r="A29" s="285" t="s">
        <v>3091</v>
      </c>
      <c r="B29" s="3309">
        <f>ROUND(B27*K16/10000,0)</f>
        <v>2465</v>
      </c>
      <c r="C29" s="2557" t="s">
        <v>3092</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09" customFormat="1" ht="27">
      <c r="A30" s="284" t="s">
        <v>938</v>
      </c>
      <c r="B30" s="1139">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09" customFormat="1" ht="27">
      <c r="A31" s="74" t="s">
        <v>939</v>
      </c>
      <c r="B31" s="415">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09" customFormat="1" ht="27.75" thickBot="1">
      <c r="A32" s="76" t="s">
        <v>940</v>
      </c>
      <c r="B32" s="1140">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09" customFormat="1" ht="13.5">
      <c r="A33" s="73" t="s">
        <v>941</v>
      </c>
      <c r="B33" s="1141">
        <v>0.03</v>
      </c>
      <c r="C33" s="2559" t="s">
        <v>942</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09" customFormat="1" ht="13.5">
      <c r="A34" s="74" t="s">
        <v>943</v>
      </c>
      <c r="B34" s="416">
        <v>0.05</v>
      </c>
      <c r="C34" s="2559" t="s">
        <v>944</v>
      </c>
      <c r="D34" s="2261" t="s">
        <v>945</v>
      </c>
      <c r="E34" s="1197"/>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09" customFormat="1" ht="13.5">
      <c r="A35" s="74" t="s">
        <v>946</v>
      </c>
      <c r="B35" s="414">
        <v>200</v>
      </c>
      <c r="C35" s="2559" t="s">
        <v>947</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948</v>
      </c>
      <c r="B36" s="417">
        <v>1.4999999999999999E-2</v>
      </c>
      <c r="C36" s="2559" t="s">
        <v>949</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950</v>
      </c>
      <c r="B37" s="418">
        <v>1.4999999999999999E-2</v>
      </c>
      <c r="C37" s="2559" t="s">
        <v>951</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952</v>
      </c>
      <c r="B38" s="416">
        <v>0.02</v>
      </c>
      <c r="C38" s="2559" t="s">
        <v>951</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2940</v>
      </c>
      <c r="B39" s="703">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3016</v>
      </c>
      <c r="B40" s="2672">
        <f ca="1">存贷款利率!G1</f>
        <v>4.7500000000000001E-2</v>
      </c>
      <c r="C40" s="2559" t="s">
        <v>764</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953</v>
      </c>
      <c r="B41" s="419">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0" t="s">
        <v>954</v>
      </c>
      <c r="B42" s="420">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0" t="s">
        <v>955</v>
      </c>
      <c r="B43" s="421">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956</v>
      </c>
      <c r="B44" s="422">
        <v>7.0000000000000007E-2</v>
      </c>
      <c r="C44" s="2559" t="s">
        <v>765</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957</v>
      </c>
      <c r="B45" s="420">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958</v>
      </c>
      <c r="B46" s="420">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959</v>
      </c>
      <c r="B47" s="423">
        <v>0</v>
      </c>
      <c r="C47" s="2557" t="s">
        <v>960</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961</v>
      </c>
      <c r="B48" s="424">
        <v>0.04</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962</v>
      </c>
      <c r="B49" s="420">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963</v>
      </c>
      <c r="B50" s="425">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964</v>
      </c>
      <c r="B51" s="426">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965</v>
      </c>
      <c r="B52" s="427">
        <f>SUMIF(A54:A63,B53,B54:B63)</f>
        <v>18</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966</v>
      </c>
      <c r="B53" s="41" t="s">
        <v>3440</v>
      </c>
      <c r="C53" s="2265" t="s">
        <v>330</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328</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329</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3441</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325</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326</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327</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8"/>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78"/>
      <c r="D64" s="2271"/>
      <c r="K64" s="2272"/>
      <c r="L64" s="2272"/>
    </row>
    <row r="65" spans="1:12" s="2270" customFormat="1">
      <c r="A65" s="1478"/>
      <c r="D65" s="2271"/>
      <c r="K65" s="2272"/>
      <c r="L65" s="2272"/>
    </row>
    <row r="66" spans="1:12" s="2270" customFormat="1">
      <c r="A66" s="1478"/>
      <c r="D66" s="2271"/>
      <c r="K66" s="2272"/>
      <c r="L66" s="2272"/>
    </row>
    <row r="67" spans="1:12" s="2270" customFormat="1">
      <c r="A67" s="1478"/>
      <c r="D67" s="2271"/>
      <c r="K67" s="2272"/>
      <c r="L67" s="2272"/>
    </row>
    <row r="68" spans="1:12" s="2270" customFormat="1">
      <c r="A68" s="1478"/>
      <c r="D68" s="2271"/>
      <c r="K68" s="2272"/>
      <c r="L68" s="2272"/>
    </row>
    <row r="69" spans="1:12" s="2270" customFormat="1">
      <c r="A69" s="1478"/>
      <c r="D69" s="2271"/>
      <c r="K69" s="2272"/>
      <c r="L69" s="2272"/>
    </row>
    <row r="70" spans="1:12" s="2270" customFormat="1">
      <c r="A70" s="1478"/>
      <c r="D70" s="2271"/>
      <c r="K70" s="2272"/>
      <c r="L70" s="2272"/>
    </row>
    <row r="71" spans="1:12" s="2270" customFormat="1">
      <c r="A71" s="1478"/>
      <c r="D71" s="2271"/>
      <c r="K71" s="2272"/>
      <c r="L71" s="2272"/>
    </row>
    <row r="72" spans="1:12" s="2270" customFormat="1">
      <c r="A72" s="1478"/>
      <c r="D72" s="2271"/>
      <c r="K72" s="2272"/>
      <c r="L72" s="2272"/>
    </row>
    <row r="73" spans="1:12" s="2270" customFormat="1">
      <c r="A73" s="1478"/>
      <c r="D73" s="2271"/>
      <c r="K73" s="2272"/>
      <c r="L73" s="2272"/>
    </row>
    <row r="74" spans="1:12" s="2270" customFormat="1">
      <c r="A74" s="1478"/>
      <c r="D74" s="2271"/>
      <c r="K74" s="2272"/>
      <c r="L74" s="2272"/>
    </row>
    <row r="75" spans="1:12" s="2270" customFormat="1">
      <c r="A75" s="1478"/>
      <c r="D75" s="2271"/>
      <c r="K75" s="2272"/>
      <c r="L75" s="2272"/>
    </row>
    <row r="76" spans="1:12" s="2270" customFormat="1">
      <c r="A76" s="1478"/>
      <c r="D76" s="2271"/>
      <c r="K76" s="2272"/>
      <c r="L76" s="2272"/>
    </row>
    <row r="77" spans="1:12" s="2270" customFormat="1">
      <c r="A77" s="1478"/>
      <c r="D77" s="2271"/>
      <c r="K77" s="2272"/>
      <c r="L77" s="2272"/>
    </row>
    <row r="78" spans="1:12" s="2270" customFormat="1">
      <c r="A78" s="1478"/>
      <c r="D78" s="2271"/>
      <c r="K78" s="2272"/>
      <c r="L78" s="2272"/>
    </row>
    <row r="79" spans="1:12" s="2270" customFormat="1">
      <c r="A79" s="1478"/>
      <c r="D79" s="2271"/>
      <c r="K79" s="2272"/>
      <c r="L79" s="2272"/>
    </row>
    <row r="80" spans="1:12" s="2270" customFormat="1">
      <c r="A80" s="1478"/>
      <c r="D80" s="2271"/>
      <c r="K80" s="2272"/>
      <c r="L80" s="2272"/>
    </row>
    <row r="81" spans="1:12" s="2270" customFormat="1">
      <c r="A81" s="1478"/>
      <c r="D81" s="2271"/>
      <c r="K81" s="2272"/>
      <c r="L81" s="2272"/>
    </row>
    <row r="82" spans="1:12" s="2270" customFormat="1">
      <c r="A82" s="1478"/>
      <c r="D82" s="2271"/>
      <c r="K82" s="2272"/>
      <c r="L82" s="2272"/>
    </row>
    <row r="83" spans="1:12" s="2270" customFormat="1">
      <c r="A83" s="1478"/>
      <c r="D83" s="2271"/>
      <c r="K83" s="2272"/>
      <c r="L83" s="2272"/>
    </row>
    <row r="84" spans="1:12" s="2270" customFormat="1">
      <c r="A84" s="1478"/>
      <c r="D84" s="2271"/>
      <c r="K84" s="2272"/>
      <c r="L84" s="2272"/>
    </row>
    <row r="85" spans="1:12" s="2270" customFormat="1">
      <c r="A85" s="1478"/>
      <c r="D85" s="2271"/>
      <c r="K85" s="2272"/>
      <c r="L85" s="2272"/>
    </row>
    <row r="86" spans="1:12" s="2270" customFormat="1">
      <c r="A86" s="1478"/>
      <c r="D86" s="2271"/>
      <c r="K86" s="2272"/>
      <c r="L86" s="2272"/>
    </row>
    <row r="87" spans="1:12" s="2270" customFormat="1">
      <c r="A87" s="1478"/>
      <c r="D87" s="2271"/>
      <c r="K87" s="2272"/>
      <c r="L87" s="2272"/>
    </row>
    <row r="88" spans="1:12" s="2270" customFormat="1">
      <c r="A88" s="1478"/>
      <c r="D88" s="2271"/>
      <c r="K88" s="2272"/>
      <c r="L88" s="2272"/>
    </row>
    <row r="89" spans="1:12" s="2270" customFormat="1">
      <c r="A89" s="1478"/>
      <c r="D89" s="2271"/>
      <c r="K89" s="2272"/>
      <c r="L89" s="2272"/>
    </row>
    <row r="90" spans="1:12" s="2270" customFormat="1">
      <c r="A90" s="1478"/>
      <c r="D90" s="2271"/>
      <c r="K90" s="2272"/>
      <c r="L90" s="2272"/>
    </row>
    <row r="91" spans="1:12" s="2270" customFormat="1">
      <c r="A91" s="1478"/>
      <c r="D91" s="2271"/>
      <c r="K91" s="2272"/>
      <c r="L91" s="2272"/>
    </row>
    <row r="92" spans="1:12" s="2270" customFormat="1">
      <c r="A92" s="1478"/>
      <c r="D92" s="2271"/>
      <c r="K92" s="2272"/>
      <c r="L92" s="2272"/>
    </row>
    <row r="93" spans="1:12" s="2270" customFormat="1">
      <c r="A93" s="1478"/>
      <c r="D93" s="2271"/>
      <c r="K93" s="2272"/>
      <c r="L93" s="2272"/>
    </row>
    <row r="94" spans="1:12" s="2270" customFormat="1">
      <c r="A94" s="1478"/>
      <c r="D94" s="2271"/>
      <c r="K94" s="2272"/>
      <c r="L94" s="2272"/>
    </row>
    <row r="95" spans="1:12" s="2270" customFormat="1">
      <c r="A95" s="1478"/>
      <c r="D95" s="2271"/>
      <c r="K95" s="2272"/>
      <c r="L95" s="2272"/>
    </row>
    <row r="96" spans="1:12" s="2270" customFormat="1">
      <c r="A96" s="1478"/>
      <c r="D96" s="2271"/>
      <c r="K96" s="2272"/>
      <c r="L96" s="2272"/>
    </row>
    <row r="97" spans="1:12" s="2270" customFormat="1">
      <c r="A97" s="1478"/>
      <c r="D97" s="2271"/>
      <c r="K97" s="2272"/>
      <c r="L97" s="2272"/>
    </row>
    <row r="98" spans="1:12" s="2270" customFormat="1">
      <c r="A98" s="1478"/>
      <c r="D98" s="2271"/>
      <c r="K98" s="2272"/>
      <c r="L98" s="2272"/>
    </row>
    <row r="99" spans="1:12" s="2270" customFormat="1">
      <c r="A99" s="1478"/>
      <c r="D99" s="2271"/>
      <c r="K99" s="2272"/>
      <c r="L99" s="2272"/>
    </row>
    <row r="100" spans="1:12" s="2270" customFormat="1">
      <c r="A100" s="1478"/>
      <c r="D100" s="2271"/>
      <c r="K100" s="2272"/>
      <c r="L100" s="2272"/>
    </row>
    <row r="101" spans="1:12" s="2270" customFormat="1">
      <c r="A101" s="1478"/>
      <c r="D101" s="2271"/>
      <c r="K101" s="2272"/>
      <c r="L101" s="2272"/>
    </row>
    <row r="102" spans="1:12" s="2270" customFormat="1">
      <c r="A102" s="1478"/>
      <c r="D102" s="2271"/>
      <c r="K102" s="2272"/>
      <c r="L102" s="2272"/>
    </row>
    <row r="103" spans="1:12" s="2270" customFormat="1">
      <c r="A103" s="1478"/>
      <c r="D103" s="2271"/>
      <c r="K103" s="2272"/>
      <c r="L103" s="2272"/>
    </row>
    <row r="104" spans="1:12" s="2270" customFormat="1">
      <c r="A104" s="1478"/>
      <c r="D104" s="2271"/>
      <c r="K104" s="2272"/>
      <c r="L104" s="2272"/>
    </row>
    <row r="105" spans="1:12" s="2270" customFormat="1">
      <c r="A105" s="1478"/>
      <c r="D105" s="2271"/>
      <c r="K105" s="2272"/>
      <c r="L105" s="2272"/>
    </row>
    <row r="106" spans="1:12" s="2270" customFormat="1">
      <c r="A106" s="1478"/>
      <c r="D106" s="2271"/>
      <c r="K106" s="2272"/>
      <c r="L106" s="2272"/>
    </row>
    <row r="107" spans="1:12" s="2270" customFormat="1">
      <c r="A107" s="1478"/>
      <c r="D107" s="2271"/>
      <c r="K107" s="2272"/>
      <c r="L107" s="2272"/>
    </row>
    <row r="108" spans="1:12" s="2270" customFormat="1">
      <c r="A108" s="1478"/>
      <c r="D108" s="2271"/>
      <c r="K108" s="2272"/>
      <c r="L108" s="2272"/>
    </row>
    <row r="109" spans="1:12" s="2270" customFormat="1">
      <c r="A109" s="1478"/>
      <c r="D109" s="2271"/>
      <c r="K109" s="2272"/>
      <c r="L109" s="2272"/>
    </row>
    <row r="110" spans="1:12" s="2270" customFormat="1">
      <c r="A110" s="1478"/>
      <c r="D110" s="2271"/>
      <c r="K110" s="2272"/>
      <c r="L110" s="2272"/>
    </row>
    <row r="111" spans="1:12" s="2270" customFormat="1">
      <c r="A111" s="1478"/>
      <c r="D111" s="2271"/>
      <c r="K111" s="2272"/>
      <c r="L111" s="2272"/>
    </row>
    <row r="112" spans="1:12" s="2270" customFormat="1">
      <c r="A112" s="1478"/>
      <c r="D112" s="2271"/>
      <c r="K112" s="2272"/>
      <c r="L112" s="2272"/>
    </row>
    <row r="113" spans="1:12" s="2270" customFormat="1">
      <c r="A113" s="1478"/>
      <c r="D113" s="2271"/>
      <c r="K113" s="2272"/>
      <c r="L113" s="2272"/>
    </row>
    <row r="114" spans="1:12" s="2270" customFormat="1">
      <c r="A114" s="1478"/>
      <c r="D114" s="2271"/>
      <c r="K114" s="2272"/>
      <c r="L114" s="2272"/>
    </row>
    <row r="115" spans="1:12" s="2270" customFormat="1">
      <c r="A115" s="1478"/>
      <c r="D115" s="2271"/>
      <c r="K115" s="2272"/>
      <c r="L115" s="2272"/>
    </row>
    <row r="116" spans="1:12" s="2270" customFormat="1">
      <c r="A116" s="1478"/>
      <c r="D116" s="2271"/>
      <c r="K116" s="2272"/>
      <c r="L116" s="2272"/>
    </row>
    <row r="117" spans="1:12" s="2270" customFormat="1">
      <c r="A117" s="1478"/>
      <c r="D117" s="2271"/>
      <c r="K117" s="2272"/>
      <c r="L117" s="2272"/>
    </row>
    <row r="118" spans="1:12" s="2270" customFormat="1">
      <c r="A118" s="1478"/>
      <c r="D118" s="2271"/>
      <c r="K118" s="2272"/>
      <c r="L118" s="2272"/>
    </row>
    <row r="119" spans="1:12" s="2270" customFormat="1">
      <c r="A119" s="1478"/>
      <c r="D119" s="2271"/>
      <c r="K119" s="2272"/>
      <c r="L119" s="2272"/>
    </row>
    <row r="120" spans="1:12" s="2270" customFormat="1">
      <c r="A120" s="1478"/>
      <c r="D120" s="2271"/>
      <c r="K120" s="2272"/>
      <c r="L120" s="2272"/>
    </row>
    <row r="121" spans="1:12" s="2270" customFormat="1">
      <c r="A121" s="1478"/>
      <c r="D121" s="2271"/>
      <c r="K121" s="2272"/>
      <c r="L121" s="2272"/>
    </row>
    <row r="122" spans="1:12" s="2270" customFormat="1">
      <c r="A122" s="1478"/>
      <c r="D122" s="2271"/>
      <c r="K122" s="2272"/>
      <c r="L122" s="2272"/>
    </row>
    <row r="123" spans="1:12" s="2270" customFormat="1">
      <c r="A123" s="1478"/>
      <c r="D123" s="2271"/>
      <c r="K123" s="2272"/>
      <c r="L123" s="2272"/>
    </row>
    <row r="124" spans="1:12" s="2270" customFormat="1">
      <c r="A124" s="1478"/>
      <c r="D124" s="2271"/>
      <c r="K124" s="2272"/>
      <c r="L124" s="2272"/>
    </row>
    <row r="125" spans="1:12" s="2270" customFormat="1">
      <c r="A125" s="1478"/>
      <c r="D125" s="2271"/>
      <c r="K125" s="2272"/>
      <c r="L125" s="2272"/>
    </row>
    <row r="126" spans="1:12" s="2270" customFormat="1">
      <c r="A126" s="1478"/>
      <c r="D126" s="2271"/>
      <c r="K126" s="2272"/>
      <c r="L126" s="2272"/>
    </row>
    <row r="127" spans="1:12" s="2270" customFormat="1">
      <c r="A127" s="1478"/>
      <c r="D127" s="2271"/>
      <c r="K127" s="2272"/>
      <c r="L127" s="2272"/>
    </row>
    <row r="128" spans="1:12" s="2270" customFormat="1">
      <c r="A128" s="1478"/>
      <c r="D128" s="2271"/>
      <c r="K128" s="2272"/>
      <c r="L128" s="2272"/>
    </row>
    <row r="129" spans="1:12" s="2270" customFormat="1">
      <c r="A129" s="1478"/>
      <c r="D129" s="2271"/>
      <c r="K129" s="2272"/>
      <c r="L129" s="2272"/>
    </row>
    <row r="130" spans="1:12" s="2270" customFormat="1">
      <c r="A130" s="1478"/>
      <c r="D130" s="2271"/>
      <c r="K130" s="2272"/>
      <c r="L130" s="2272"/>
    </row>
    <row r="131" spans="1:12" s="2270" customFormat="1">
      <c r="A131" s="1478"/>
      <c r="D131" s="2271"/>
      <c r="K131" s="2272"/>
      <c r="L131" s="2272"/>
    </row>
    <row r="132" spans="1:12" s="2270" customFormat="1">
      <c r="A132" s="1478"/>
      <c r="D132" s="2271"/>
      <c r="K132" s="2272"/>
      <c r="L132" s="2272"/>
    </row>
    <row r="133" spans="1:12" s="2270" customFormat="1">
      <c r="A133" s="1478"/>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515" t="s">
        <v>986</v>
      </c>
      <c r="B1" s="3516"/>
      <c r="C1" s="3516"/>
      <c r="D1" s="3516"/>
      <c r="E1" s="3516"/>
      <c r="F1" s="3516"/>
      <c r="G1" s="3516"/>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3"/>
      <c r="B2" s="1214"/>
      <c r="C2" s="1215" t="s">
        <v>987</v>
      </c>
      <c r="D2" s="1216"/>
      <c r="E2" s="1217"/>
      <c r="F2" s="1204"/>
      <c r="G2" s="1215" t="s">
        <v>988</v>
      </c>
      <c r="H2" s="2283"/>
      <c r="I2" s="2283"/>
      <c r="J2" s="2283"/>
      <c r="K2" s="2283"/>
      <c r="L2" s="2283"/>
      <c r="M2" s="2283"/>
      <c r="N2" s="2283"/>
      <c r="O2" s="2283"/>
      <c r="P2" s="2283"/>
      <c r="Q2" s="2283"/>
      <c r="R2" s="2283"/>
    </row>
    <row r="3" spans="1:29" ht="54">
      <c r="A3" s="1025" t="s">
        <v>989</v>
      </c>
      <c r="B3" s="51" t="s">
        <v>55</v>
      </c>
      <c r="C3" s="271" t="s">
        <v>990</v>
      </c>
      <c r="D3" s="2284"/>
      <c r="E3" s="1034" t="s">
        <v>989</v>
      </c>
      <c r="F3" s="1218" t="s">
        <v>104</v>
      </c>
      <c r="G3" s="288" t="s">
        <v>991</v>
      </c>
      <c r="H3" s="2283"/>
      <c r="I3" s="2283"/>
      <c r="J3" s="2283"/>
      <c r="K3" s="2283"/>
      <c r="L3" s="2283"/>
      <c r="M3" s="2283"/>
      <c r="N3" s="2283"/>
      <c r="O3" s="2283"/>
      <c r="P3" s="2283"/>
      <c r="Q3" s="2283"/>
      <c r="R3" s="2283"/>
    </row>
    <row r="4" spans="1:29" ht="40.5">
      <c r="A4" s="1034"/>
      <c r="B4" s="2236" t="s">
        <v>992</v>
      </c>
      <c r="C4" s="272" t="s">
        <v>993</v>
      </c>
      <c r="D4" s="2284"/>
      <c r="E4" s="1219"/>
      <c r="F4" s="2240" t="s">
        <v>994</v>
      </c>
      <c r="G4" s="273" t="s">
        <v>995</v>
      </c>
      <c r="H4" s="2283"/>
      <c r="I4" s="2283"/>
      <c r="J4" s="2283"/>
      <c r="K4" s="2283"/>
      <c r="L4" s="2283"/>
      <c r="M4" s="2283"/>
      <c r="N4" s="2283"/>
      <c r="O4" s="2283"/>
      <c r="P4" s="2283"/>
      <c r="Q4" s="2283"/>
      <c r="R4" s="2283"/>
    </row>
    <row r="5" spans="1:29" ht="40.5">
      <c r="A5" s="1034"/>
      <c r="B5" s="2236" t="s">
        <v>996</v>
      </c>
      <c r="C5" s="272" t="s">
        <v>997</v>
      </c>
      <c r="D5" s="2284"/>
      <c r="E5" s="1219"/>
      <c r="F5" s="2781" t="s">
        <v>3033</v>
      </c>
      <c r="G5" s="273" t="s">
        <v>3035</v>
      </c>
      <c r="H5" s="2283"/>
      <c r="I5" s="2283"/>
      <c r="J5" s="2283"/>
      <c r="K5" s="2283"/>
      <c r="L5" s="2283"/>
      <c r="M5" s="2283"/>
      <c r="N5" s="2283"/>
      <c r="O5" s="2283"/>
      <c r="P5" s="2283"/>
      <c r="Q5" s="2283"/>
      <c r="R5" s="2283"/>
    </row>
    <row r="6" spans="1:29" ht="54">
      <c r="A6" s="1034"/>
      <c r="B6" s="2236" t="s">
        <v>77</v>
      </c>
      <c r="C6" s="273" t="s">
        <v>967</v>
      </c>
      <c r="D6" s="2284"/>
      <c r="E6" s="1219"/>
      <c r="F6" s="2781" t="s">
        <v>3032</v>
      </c>
      <c r="G6" s="273" t="s">
        <v>3034</v>
      </c>
      <c r="H6" s="2283"/>
      <c r="I6" s="2283"/>
      <c r="J6" s="2283"/>
      <c r="K6" s="2283"/>
      <c r="L6" s="2283"/>
      <c r="M6" s="2283"/>
      <c r="N6" s="2283"/>
      <c r="O6" s="2283"/>
      <c r="P6" s="2283"/>
      <c r="Q6" s="2283"/>
      <c r="R6" s="2283"/>
    </row>
    <row r="7" spans="1:29" ht="41.25" thickBot="1">
      <c r="A7" s="1034"/>
      <c r="B7" s="2236" t="s">
        <v>3033</v>
      </c>
      <c r="C7" s="273" t="s">
        <v>3035</v>
      </c>
      <c r="D7" s="2285"/>
      <c r="E7" s="1220"/>
      <c r="F7" s="1221" t="s">
        <v>968</v>
      </c>
      <c r="G7" s="275" t="s">
        <v>969</v>
      </c>
      <c r="H7" s="2283"/>
      <c r="I7" s="2283"/>
      <c r="J7" s="2283"/>
      <c r="K7" s="2283"/>
      <c r="L7" s="2283"/>
      <c r="M7" s="2283"/>
      <c r="N7" s="2283"/>
      <c r="O7" s="2283"/>
      <c r="P7" s="2283"/>
      <c r="Q7" s="2283"/>
      <c r="R7" s="2283"/>
    </row>
    <row r="8" spans="1:29" ht="27">
      <c r="A8" s="1034"/>
      <c r="B8" s="2781" t="s">
        <v>3032</v>
      </c>
      <c r="C8" s="273" t="s">
        <v>3034</v>
      </c>
      <c r="D8" s="2285"/>
      <c r="E8" s="2285"/>
      <c r="F8" s="2286"/>
      <c r="G8" s="2286"/>
      <c r="H8" s="2283"/>
      <c r="I8" s="2283"/>
      <c r="J8" s="2283"/>
      <c r="K8" s="2283"/>
      <c r="L8" s="2283"/>
      <c r="M8" s="2283"/>
      <c r="N8" s="2283"/>
      <c r="O8" s="2283"/>
      <c r="P8" s="2283"/>
      <c r="Q8" s="2283"/>
      <c r="R8" s="2283"/>
    </row>
    <row r="9" spans="1:29" ht="40.5">
      <c r="A9" s="1034"/>
      <c r="B9" s="2236" t="s">
        <v>78</v>
      </c>
      <c r="C9" s="272" t="s">
        <v>970</v>
      </c>
      <c r="D9" s="2284"/>
      <c r="E9" s="2285"/>
      <c r="F9" s="2286"/>
      <c r="G9" s="2286"/>
      <c r="H9" s="2283"/>
      <c r="I9" s="2283"/>
      <c r="J9" s="2283"/>
      <c r="K9" s="2283"/>
      <c r="L9" s="2283"/>
      <c r="M9" s="2283"/>
      <c r="N9" s="2283"/>
      <c r="O9" s="2283"/>
      <c r="P9" s="2283"/>
      <c r="Q9" s="2283"/>
      <c r="R9" s="2283"/>
    </row>
    <row r="10" spans="1:29" s="40" customFormat="1" ht="14.25" thickBot="1">
      <c r="A10" s="1223"/>
      <c r="B10" s="1224" t="s">
        <v>971</v>
      </c>
      <c r="C10" s="274" t="s">
        <v>972</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2"/>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2"/>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973</v>
      </c>
      <c r="B13" s="2779"/>
      <c r="C13" s="2779"/>
      <c r="D13" s="2282"/>
      <c r="E13" s="2779"/>
      <c r="F13" s="2779"/>
      <c r="G13" s="2779"/>
    </row>
    <row r="14" spans="1:29" ht="14.25" thickBot="1">
      <c r="A14" s="1225"/>
      <c r="B14" s="1226"/>
      <c r="C14" s="1227" t="s">
        <v>974</v>
      </c>
      <c r="D14" s="2284"/>
      <c r="E14" s="1228"/>
      <c r="F14" s="1228"/>
      <c r="G14" s="1215" t="s">
        <v>975</v>
      </c>
    </row>
    <row r="15" spans="1:29" ht="54">
      <c r="A15" s="46" t="s">
        <v>976</v>
      </c>
      <c r="B15" s="14" t="s">
        <v>55</v>
      </c>
      <c r="C15" s="1229" t="str">
        <f>C3</f>
        <v>估价对象周边居住用地比例、居住小区规模和社区发展完善程度，综合评价居住社区成熟度一般</v>
      </c>
      <c r="D15" s="2284"/>
      <c r="E15" s="2794" t="s">
        <v>977</v>
      </c>
      <c r="F15" s="14" t="s">
        <v>978</v>
      </c>
      <c r="G15" s="1027" t="str">
        <f>G3</f>
        <v>估价对象位于北京经济技术开发区，园区建设成熟，产业集聚程度较好</v>
      </c>
    </row>
    <row r="16" spans="1:29" ht="40.5">
      <c r="A16" s="2797"/>
      <c r="B16" s="1230" t="s">
        <v>979</v>
      </c>
      <c r="C16" s="1231" t="str">
        <f>C4</f>
        <v>估价对象位于XX商圈，周边商业氛围成熟，人流量大，商业繁华度好</v>
      </c>
      <c r="D16" s="2284"/>
      <c r="E16" s="2795"/>
      <c r="F16" s="1232" t="s">
        <v>980</v>
      </c>
      <c r="G16" s="1029" t="str">
        <f>G4</f>
        <v>估价对象周边道路状况、公共交通通达情况、停车便捷程度，综合评价交通便捷度较好</v>
      </c>
    </row>
    <row r="17" spans="1:18" ht="40.5">
      <c r="A17" s="2797"/>
      <c r="B17" s="1230" t="s">
        <v>981</v>
      </c>
      <c r="C17" s="1231" t="str">
        <f>C5</f>
        <v>估价对象位于XX商圈，周边办公楼项目较多，入驻率高，办公集聚程度较好</v>
      </c>
      <c r="D17" s="2285"/>
      <c r="E17" s="2795"/>
      <c r="F17" s="1232" t="s">
        <v>982</v>
      </c>
      <c r="G17" s="276" t="s">
        <v>2196</v>
      </c>
    </row>
    <row r="18" spans="1:18" ht="54">
      <c r="A18" s="2797"/>
      <c r="B18" s="1232" t="s">
        <v>77</v>
      </c>
      <c r="C18" s="1029" t="str">
        <f>C6</f>
        <v>估价对象周边道路状况、公共交通通达情况、停车便捷程度，综合评价交通便捷度较好</v>
      </c>
      <c r="D18" s="2285"/>
      <c r="E18" s="2795"/>
      <c r="F18" s="1232" t="s">
        <v>968</v>
      </c>
      <c r="G18" s="1029" t="str">
        <f>G7</f>
        <v>该园区内无污染型企业，绿化较好，卫生条件良好，整体环境状况较好</v>
      </c>
    </row>
    <row r="19" spans="1:18" ht="27">
      <c r="A19" s="2797"/>
      <c r="B19" s="1232" t="s">
        <v>96</v>
      </c>
      <c r="C19" s="276" t="s">
        <v>2196</v>
      </c>
      <c r="D19" s="2284"/>
      <c r="E19" s="2795"/>
      <c r="F19" s="2781" t="s">
        <v>3033</v>
      </c>
      <c r="G19" s="1029" t="str">
        <f>G5</f>
        <v>估价对象所在区域公共配套设施齐备情况</v>
      </c>
    </row>
    <row r="20" spans="1:18" ht="40.5">
      <c r="A20" s="2797"/>
      <c r="B20" s="1232" t="s">
        <v>95</v>
      </c>
      <c r="C20" s="1231" t="str">
        <f>C9</f>
        <v>区域自然环境：；人文环境；综合评价环境状况一般</v>
      </c>
      <c r="D20" s="2285"/>
      <c r="E20" s="2795"/>
      <c r="F20" s="2781" t="s">
        <v>3032</v>
      </c>
      <c r="G20" s="1029" t="str">
        <f>G6</f>
        <v>估价对象所在区域基础设施水平</v>
      </c>
    </row>
    <row r="21" spans="1:18" ht="27">
      <c r="A21" s="2797"/>
      <c r="B21" s="2781" t="s">
        <v>3033</v>
      </c>
      <c r="C21" s="1029" t="str">
        <f>C7</f>
        <v>估价对象所在区域公共配套设施齐备情况</v>
      </c>
      <c r="D21" s="2284"/>
      <c r="E21" s="2795"/>
      <c r="F21" s="1232" t="s">
        <v>94</v>
      </c>
      <c r="G21" s="289" t="s">
        <v>94</v>
      </c>
    </row>
    <row r="22" spans="1:18" ht="13.5" customHeight="1">
      <c r="A22" s="2797"/>
      <c r="B22" s="2781" t="s">
        <v>3032</v>
      </c>
      <c r="C22" s="1029" t="str">
        <f>C8</f>
        <v>估价对象所在区域基础设施水平</v>
      </c>
      <c r="D22" s="2284"/>
      <c r="E22" s="2795"/>
      <c r="F22" s="1232" t="s">
        <v>983</v>
      </c>
      <c r="G22" s="276" t="s">
        <v>2224</v>
      </c>
    </row>
    <row r="23" spans="1:18" s="2283" customFormat="1" ht="14.25" thickBot="1">
      <c r="A23" s="2797"/>
      <c r="B23" s="1232" t="s">
        <v>94</v>
      </c>
      <c r="C23" s="289" t="s">
        <v>94</v>
      </c>
      <c r="D23" s="2296"/>
      <c r="E23" s="2796"/>
      <c r="F23" s="1233" t="s">
        <v>984</v>
      </c>
      <c r="G23" s="290" t="s">
        <v>985</v>
      </c>
      <c r="H23" s="2296"/>
      <c r="I23" s="2297"/>
      <c r="J23" s="2296"/>
      <c r="K23" s="2296"/>
      <c r="L23" s="2297"/>
      <c r="M23" s="2296"/>
      <c r="N23" s="2296"/>
      <c r="O23" s="2297"/>
      <c r="P23" s="2296"/>
      <c r="Q23" s="2296"/>
      <c r="R23" s="2298"/>
    </row>
    <row r="24" spans="1:18" s="2283" customFormat="1" ht="14.25" thickBot="1">
      <c r="A24" s="2798"/>
      <c r="B24" s="1233" t="s">
        <v>93</v>
      </c>
      <c r="C24" s="1234"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7" sqref="F27"/>
    </sheetView>
  </sheetViews>
  <sheetFormatPr defaultRowHeight="13.5"/>
  <cols>
    <col min="1" max="1" width="23.375" style="3347" customWidth="1"/>
    <col min="2" max="9" width="15.75" style="3347" customWidth="1"/>
    <col min="10" max="16384" width="9" style="3347"/>
  </cols>
  <sheetData>
    <row r="1" spans="1:10" ht="16.5">
      <c r="A1" s="3344" t="s">
        <v>3494</v>
      </c>
      <c r="B1" s="3344">
        <f>SUM(B14:B23)</f>
        <v>144992.93</v>
      </c>
      <c r="C1" s="3345"/>
      <c r="D1" s="3345"/>
      <c r="E1" s="3345"/>
      <c r="F1" s="3345"/>
      <c r="G1" s="3346"/>
    </row>
    <row r="2" spans="1:10" ht="16.5">
      <c r="A2" s="3344" t="s">
        <v>3495</v>
      </c>
      <c r="B2" s="3344">
        <f>SUM(C14:C23)</f>
        <v>24814.06</v>
      </c>
      <c r="C2" s="3345"/>
      <c r="D2" s="3345"/>
      <c r="E2" s="3345"/>
      <c r="F2" s="3345"/>
      <c r="G2" s="3346"/>
    </row>
    <row r="3" spans="1:10" ht="16.5">
      <c r="A3" s="3344" t="s">
        <v>3496</v>
      </c>
      <c r="B3" s="3348">
        <f>项目基本情况!D3</f>
        <v>42959</v>
      </c>
      <c r="C3" s="3345"/>
      <c r="D3" s="3345"/>
      <c r="E3" s="3345"/>
      <c r="F3" s="3345"/>
      <c r="G3" s="3346"/>
    </row>
    <row r="4" spans="1:10" ht="33">
      <c r="A4" s="3344" t="s">
        <v>3497</v>
      </c>
      <c r="B4" s="3344" t="s">
        <v>3498</v>
      </c>
      <c r="C4" s="3344" t="s">
        <v>3499</v>
      </c>
      <c r="D4" s="3344" t="s">
        <v>3500</v>
      </c>
      <c r="E4" s="3345"/>
      <c r="F4" s="3346"/>
      <c r="G4" s="3346"/>
    </row>
    <row r="5" spans="1:10" ht="16.5">
      <c r="A5" s="3344" t="s">
        <v>3501</v>
      </c>
      <c r="B5" s="3344">
        <f ca="1">SUM(D14:D23)</f>
        <v>231937</v>
      </c>
      <c r="C5" s="3344">
        <f ca="1">ROUND(B5*10000/$B$1,0)</f>
        <v>15996</v>
      </c>
      <c r="D5" s="3344">
        <f ca="1">ROUND(B5*10000/$B$2,0)</f>
        <v>93470</v>
      </c>
      <c r="E5" s="3345"/>
      <c r="F5" s="3346"/>
      <c r="G5" s="3346"/>
    </row>
    <row r="6" spans="1:10" ht="16.5">
      <c r="A6" s="3344" t="s">
        <v>3502</v>
      </c>
      <c r="B6" s="3344">
        <f ca="1">SUM(G14:G23)</f>
        <v>218633</v>
      </c>
      <c r="C6" s="3344">
        <f ca="1">ROUND(B6*10000/$B$1,0)</f>
        <v>15079</v>
      </c>
      <c r="D6" s="3344">
        <f ca="1">ROUND(B6*10000/$B$2,0)</f>
        <v>88109</v>
      </c>
      <c r="E6" s="3345"/>
      <c r="F6" s="3346"/>
      <c r="G6" s="3346"/>
    </row>
    <row r="7" spans="1:10" ht="16.5">
      <c r="A7" s="3344" t="s">
        <v>3503</v>
      </c>
      <c r="B7" s="3344">
        <f ca="1">SUM(H14:H23)</f>
        <v>218633</v>
      </c>
      <c r="C7" s="3344">
        <f ca="1">ROUND(B7*10000/$B$1,0)</f>
        <v>15079</v>
      </c>
      <c r="D7" s="3344">
        <f ca="1">ROUND(B7*10000/$B$2,0)</f>
        <v>88109</v>
      </c>
      <c r="E7" s="3345"/>
      <c r="F7" s="3346"/>
      <c r="G7" s="3346"/>
    </row>
    <row r="8" spans="1:10" ht="16.5">
      <c r="A8" s="3344" t="s">
        <v>3278</v>
      </c>
      <c r="B8" s="3344">
        <f ca="1">SUM(I14:I23)</f>
        <v>87241</v>
      </c>
      <c r="C8" s="3344">
        <f ca="1">ROUND(B8*10000/$B$1,0)</f>
        <v>6017</v>
      </c>
      <c r="D8" s="3344">
        <f ca="1">ROUND(B8*10000/$B$2,0)</f>
        <v>35158</v>
      </c>
      <c r="E8" s="3345"/>
      <c r="F8" s="3346"/>
      <c r="G8" s="3346"/>
    </row>
    <row r="9" spans="1:10" ht="16.5">
      <c r="A9" s="3344" t="s">
        <v>3504</v>
      </c>
      <c r="B9" s="3349"/>
      <c r="C9" s="3345"/>
      <c r="D9" s="3345"/>
      <c r="E9" s="3345"/>
      <c r="F9" s="3346"/>
      <c r="G9" s="3346"/>
    </row>
    <row r="10" spans="1:10" ht="16.5">
      <c r="A10" s="3344" t="s">
        <v>3505</v>
      </c>
      <c r="B10" s="3349"/>
      <c r="C10" s="3345"/>
      <c r="D10" s="3345"/>
      <c r="E10" s="3345"/>
      <c r="F10" s="3346"/>
      <c r="G10" s="3346"/>
    </row>
    <row r="11" spans="1:10" ht="16.5">
      <c r="A11" s="3344" t="s">
        <v>3506</v>
      </c>
      <c r="B11" s="3349"/>
      <c r="C11" s="3345"/>
      <c r="D11" s="3345"/>
      <c r="E11" s="3345"/>
      <c r="F11" s="3346"/>
      <c r="G11" s="3346"/>
    </row>
    <row r="12" spans="1:10" ht="16.5">
      <c r="A12" s="3345"/>
      <c r="B12" s="3345"/>
      <c r="C12" s="3345"/>
      <c r="D12" s="3345"/>
      <c r="E12" s="3345"/>
      <c r="F12" s="3346"/>
      <c r="G12" s="3346"/>
    </row>
    <row r="13" spans="1:10" ht="33">
      <c r="A13" s="3350" t="s">
        <v>3507</v>
      </c>
      <c r="B13" s="3351" t="s">
        <v>3508</v>
      </c>
      <c r="C13" s="3351" t="s">
        <v>3509</v>
      </c>
      <c r="D13" s="3351" t="s">
        <v>3510</v>
      </c>
      <c r="E13" s="3344" t="s">
        <v>3499</v>
      </c>
      <c r="F13" s="3344" t="s">
        <v>3511</v>
      </c>
      <c r="G13" s="3351" t="s">
        <v>3512</v>
      </c>
      <c r="H13" s="3351" t="s">
        <v>3513</v>
      </c>
      <c r="I13" s="3351" t="s">
        <v>3514</v>
      </c>
      <c r="J13" s="3346"/>
    </row>
    <row r="14" spans="1:10" ht="16.5">
      <c r="A14" s="3352" t="s">
        <v>3515</v>
      </c>
      <c r="B14" s="3351">
        <f>'数据-汇总表'!E3</f>
        <v>144992.93</v>
      </c>
      <c r="C14" s="3351">
        <f>'数据-汇总表'!D3</f>
        <v>24814.06</v>
      </c>
      <c r="D14" s="3351">
        <f ca="1">结果表!H118</f>
        <v>231937</v>
      </c>
      <c r="E14" s="3351">
        <f ca="1">ROUND(D14*10000/B14,0)</f>
        <v>15996</v>
      </c>
      <c r="F14" s="3351">
        <f ca="1">ROUND(D14*10000/C14,0)</f>
        <v>93470</v>
      </c>
      <c r="G14" s="3351">
        <f ca="1">结果表!D122</f>
        <v>218633</v>
      </c>
      <c r="H14" s="3351">
        <f ca="1">结果表!D124</f>
        <v>218633</v>
      </c>
      <c r="I14" s="3351">
        <f ca="1">结果表!D126</f>
        <v>87241</v>
      </c>
      <c r="J14" s="3346"/>
    </row>
    <row r="15" spans="1:10" ht="16.5">
      <c r="A15" s="3352" t="s">
        <v>3516</v>
      </c>
      <c r="B15" s="3353"/>
      <c r="C15" s="3353"/>
      <c r="D15" s="3353"/>
      <c r="E15" s="3351" t="e">
        <f t="shared" ref="E15:E23" si="0">ROUND(D15*10000/B15,0)</f>
        <v>#DIV/0!</v>
      </c>
      <c r="F15" s="3351" t="e">
        <f t="shared" ref="F15:F23" si="1">ROUND(D15*10000/C15,0)</f>
        <v>#DIV/0!</v>
      </c>
      <c r="G15" s="3354"/>
      <c r="H15" s="3354"/>
      <c r="I15" s="3353"/>
      <c r="J15" s="3346"/>
    </row>
    <row r="16" spans="1:10" ht="16.5">
      <c r="A16" s="3352" t="s">
        <v>3517</v>
      </c>
      <c r="B16" s="3353"/>
      <c r="C16" s="3353"/>
      <c r="D16" s="3353"/>
      <c r="E16" s="3351" t="e">
        <f t="shared" si="0"/>
        <v>#DIV/0!</v>
      </c>
      <c r="F16" s="3351" t="e">
        <f t="shared" si="1"/>
        <v>#DIV/0!</v>
      </c>
      <c r="G16" s="3354"/>
      <c r="H16" s="3354"/>
      <c r="I16" s="3353"/>
    </row>
    <row r="17" spans="1:9" ht="16.5">
      <c r="A17" s="3352" t="s">
        <v>3518</v>
      </c>
      <c r="B17" s="3353"/>
      <c r="C17" s="3353"/>
      <c r="D17" s="3353"/>
      <c r="E17" s="3351" t="e">
        <f t="shared" si="0"/>
        <v>#DIV/0!</v>
      </c>
      <c r="F17" s="3351" t="e">
        <f t="shared" si="1"/>
        <v>#DIV/0!</v>
      </c>
      <c r="G17" s="3354"/>
      <c r="H17" s="3354"/>
      <c r="I17" s="3353"/>
    </row>
    <row r="18" spans="1:9" ht="16.5">
      <c r="A18" s="3352" t="s">
        <v>3519</v>
      </c>
      <c r="B18" s="3353"/>
      <c r="C18" s="3353"/>
      <c r="D18" s="3353"/>
      <c r="E18" s="3351" t="e">
        <f t="shared" si="0"/>
        <v>#DIV/0!</v>
      </c>
      <c r="F18" s="3351" t="e">
        <f t="shared" si="1"/>
        <v>#DIV/0!</v>
      </c>
      <c r="G18" s="3353"/>
      <c r="H18" s="3353"/>
      <c r="I18" s="3353"/>
    </row>
    <row r="19" spans="1:9" ht="16.5">
      <c r="A19" s="3352" t="s">
        <v>3520</v>
      </c>
      <c r="B19" s="3353"/>
      <c r="C19" s="3353"/>
      <c r="D19" s="3353"/>
      <c r="E19" s="3351" t="e">
        <f t="shared" si="0"/>
        <v>#DIV/0!</v>
      </c>
      <c r="F19" s="3351" t="e">
        <f t="shared" si="1"/>
        <v>#DIV/0!</v>
      </c>
      <c r="G19" s="3353"/>
      <c r="H19" s="3353"/>
      <c r="I19" s="3353"/>
    </row>
    <row r="20" spans="1:9" ht="16.5">
      <c r="A20" s="3352" t="s">
        <v>3521</v>
      </c>
      <c r="B20" s="3353"/>
      <c r="C20" s="3353"/>
      <c r="D20" s="3353"/>
      <c r="E20" s="3351" t="e">
        <f t="shared" si="0"/>
        <v>#DIV/0!</v>
      </c>
      <c r="F20" s="3351" t="e">
        <f t="shared" si="1"/>
        <v>#DIV/0!</v>
      </c>
      <c r="G20" s="3353"/>
      <c r="H20" s="3353"/>
      <c r="I20" s="3353"/>
    </row>
    <row r="21" spans="1:9" ht="16.5">
      <c r="A21" s="3352" t="s">
        <v>3522</v>
      </c>
      <c r="B21" s="3353"/>
      <c r="C21" s="3353"/>
      <c r="D21" s="3353"/>
      <c r="E21" s="3351" t="e">
        <f t="shared" si="0"/>
        <v>#DIV/0!</v>
      </c>
      <c r="F21" s="3351" t="e">
        <f t="shared" si="1"/>
        <v>#DIV/0!</v>
      </c>
      <c r="G21" s="3353"/>
      <c r="H21" s="3353"/>
      <c r="I21" s="3353"/>
    </row>
    <row r="22" spans="1:9" ht="16.5">
      <c r="A22" s="3352" t="s">
        <v>3523</v>
      </c>
      <c r="B22" s="3353"/>
      <c r="C22" s="3353"/>
      <c r="D22" s="3353"/>
      <c r="E22" s="3351" t="e">
        <f t="shared" si="0"/>
        <v>#DIV/0!</v>
      </c>
      <c r="F22" s="3351" t="e">
        <f t="shared" si="1"/>
        <v>#DIV/0!</v>
      </c>
      <c r="G22" s="3353"/>
      <c r="H22" s="3353"/>
      <c r="I22" s="3353"/>
    </row>
    <row r="23" spans="1:9" ht="16.5">
      <c r="A23" s="3352" t="s">
        <v>3524</v>
      </c>
      <c r="B23" s="3353"/>
      <c r="C23" s="3353"/>
      <c r="D23" s="3353"/>
      <c r="E23" s="3344" t="e">
        <f t="shared" si="0"/>
        <v>#DIV/0!</v>
      </c>
      <c r="F23" s="3344" t="e">
        <f t="shared" si="1"/>
        <v>#DIV/0!</v>
      </c>
      <c r="G23" s="3353"/>
      <c r="H23" s="3353"/>
      <c r="I23" s="3353"/>
    </row>
  </sheetData>
  <phoneticPr fontId="20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97" zoomScale="115" zoomScaleNormal="100" zoomScaleSheetLayoutView="115" zoomScalePageLayoutView="80" workbookViewId="0">
      <selection activeCell="H102" sqref="H102"/>
    </sheetView>
  </sheetViews>
  <sheetFormatPr defaultColWidth="12.625" defaultRowHeight="21.75" customHeight="1"/>
  <cols>
    <col min="1" max="2" width="12.625" style="1248"/>
    <col min="3" max="4" width="12.625" style="1248" customWidth="1"/>
    <col min="5" max="8" width="12.625" style="1248"/>
    <col min="9" max="9" width="16.12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998</v>
      </c>
      <c r="B1" s="1247"/>
      <c r="C1" s="2122"/>
      <c r="D1" s="1247"/>
      <c r="E1" s="1247"/>
      <c r="F1" s="2106" t="s">
        <v>2473</v>
      </c>
      <c r="G1" s="2079" t="s">
        <v>274</v>
      </c>
      <c r="H1" s="2135" t="str">
        <f>IF(G1="现房","——","估价对象范围")</f>
        <v>估价对象范围</v>
      </c>
      <c r="I1" s="2112" t="s">
        <v>2789</v>
      </c>
    </row>
    <row r="2" spans="1:12" ht="21.75" customHeight="1" thickBot="1">
      <c r="A2" s="3587" t="str">
        <f>项目基本情况!S2</f>
        <v>河南省郑州市金水区红旗路北、经七路东出让国有建设用地使用权及在建建筑物房地产</v>
      </c>
      <c r="B2" s="3588"/>
      <c r="C2" s="3588"/>
      <c r="D2" s="3588"/>
      <c r="E2" s="3588"/>
      <c r="F2" s="3588"/>
      <c r="G2" s="3588"/>
      <c r="H2" s="3588"/>
      <c r="I2" s="3589"/>
    </row>
    <row r="3" spans="1:12" ht="12">
      <c r="A3" s="3591" t="s">
        <v>10</v>
      </c>
      <c r="B3" s="3592"/>
      <c r="C3" s="3592"/>
      <c r="D3" s="3592"/>
      <c r="E3" s="3592"/>
      <c r="F3" s="3592"/>
      <c r="G3" s="3592"/>
      <c r="H3" s="3592"/>
      <c r="I3" s="3592"/>
    </row>
    <row r="4" spans="1:12" ht="13.5">
      <c r="A4" s="433" t="s">
        <v>11</v>
      </c>
      <c r="B4" s="434" t="s">
        <v>12</v>
      </c>
      <c r="C4" s="435" t="s">
        <v>2790</v>
      </c>
      <c r="D4" s="435" t="s">
        <v>3384</v>
      </c>
      <c r="E4" s="3596" t="s">
        <v>999</v>
      </c>
      <c r="F4" s="3597"/>
      <c r="G4" s="3597"/>
      <c r="H4" s="3597"/>
      <c r="I4" s="3598"/>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假设开发法</v>
      </c>
    </row>
    <row r="5" spans="1:12" ht="12.75">
      <c r="A5" s="3571" t="s">
        <v>13</v>
      </c>
      <c r="B5" s="3590">
        <v>25</v>
      </c>
      <c r="C5" s="3593">
        <v>24</v>
      </c>
      <c r="D5" s="3586">
        <v>24</v>
      </c>
      <c r="E5" s="475" t="s">
        <v>1043</v>
      </c>
      <c r="F5" s="436"/>
      <c r="G5" s="436"/>
      <c r="H5" s="436"/>
      <c r="I5" s="437"/>
    </row>
    <row r="6" spans="1:12" ht="12.75">
      <c r="A6" s="3571"/>
      <c r="B6" s="3590"/>
      <c r="C6" s="3595"/>
      <c r="D6" s="3586"/>
      <c r="E6" s="475" t="s">
        <v>1044</v>
      </c>
      <c r="F6" s="436"/>
      <c r="G6" s="436"/>
      <c r="H6" s="436"/>
      <c r="I6" s="437"/>
    </row>
    <row r="7" spans="1:12" ht="12.75">
      <c r="A7" s="3571"/>
      <c r="B7" s="3590"/>
      <c r="C7" s="3594"/>
      <c r="D7" s="3586"/>
      <c r="E7" s="475" t="s">
        <v>1045</v>
      </c>
      <c r="F7" s="436"/>
      <c r="G7" s="436"/>
      <c r="H7" s="436"/>
      <c r="I7" s="437"/>
    </row>
    <row r="8" spans="1:12" ht="12.75">
      <c r="A8" s="3571" t="s">
        <v>14</v>
      </c>
      <c r="B8" s="3590">
        <v>15</v>
      </c>
      <c r="C8" s="3593">
        <v>14</v>
      </c>
      <c r="D8" s="3586">
        <v>14</v>
      </c>
      <c r="E8" s="475" t="s">
        <v>1046</v>
      </c>
      <c r="F8" s="436"/>
      <c r="G8" s="436"/>
      <c r="H8" s="436"/>
      <c r="I8" s="437"/>
    </row>
    <row r="9" spans="1:12" ht="12.75">
      <c r="A9" s="3571"/>
      <c r="B9" s="3590"/>
      <c r="C9" s="3594"/>
      <c r="D9" s="3586"/>
      <c r="E9" s="475" t="s">
        <v>1047</v>
      </c>
      <c r="F9" s="436"/>
      <c r="G9" s="436"/>
      <c r="H9" s="436"/>
      <c r="I9" s="437"/>
    </row>
    <row r="10" spans="1:12" ht="12.75">
      <c r="A10" s="3571" t="s">
        <v>15</v>
      </c>
      <c r="B10" s="3590">
        <v>15</v>
      </c>
      <c r="C10" s="3593">
        <v>14</v>
      </c>
      <c r="D10" s="3586">
        <v>14</v>
      </c>
      <c r="E10" s="475" t="s">
        <v>1048</v>
      </c>
      <c r="F10" s="436"/>
      <c r="G10" s="436"/>
      <c r="H10" s="436"/>
      <c r="I10" s="437"/>
    </row>
    <row r="11" spans="1:12" ht="12.75">
      <c r="A11" s="3571"/>
      <c r="B11" s="3590"/>
      <c r="C11" s="3594"/>
      <c r="D11" s="3586"/>
      <c r="E11" s="475" t="s">
        <v>1049</v>
      </c>
      <c r="F11" s="436"/>
      <c r="G11" s="436"/>
      <c r="H11" s="436"/>
      <c r="I11" s="437"/>
    </row>
    <row r="12" spans="1:12" ht="12.75">
      <c r="A12" s="3571" t="s">
        <v>16</v>
      </c>
      <c r="B12" s="3590">
        <v>15</v>
      </c>
      <c r="C12" s="3593">
        <v>14</v>
      </c>
      <c r="D12" s="3586">
        <v>14</v>
      </c>
      <c r="E12" s="475" t="s">
        <v>1050</v>
      </c>
      <c r="F12" s="436"/>
      <c r="G12" s="436"/>
      <c r="H12" s="436"/>
      <c r="I12" s="437"/>
    </row>
    <row r="13" spans="1:12" ht="12.75">
      <c r="A13" s="3571"/>
      <c r="B13" s="3590"/>
      <c r="C13" s="3594"/>
      <c r="D13" s="3586"/>
      <c r="E13" s="475" t="s">
        <v>1051</v>
      </c>
      <c r="F13" s="436"/>
      <c r="G13" s="436"/>
      <c r="H13" s="436"/>
      <c r="I13" s="437"/>
    </row>
    <row r="14" spans="1:12" ht="12.75">
      <c r="A14" s="3571" t="s">
        <v>17</v>
      </c>
      <c r="B14" s="3590">
        <v>30</v>
      </c>
      <c r="C14" s="3593">
        <v>25</v>
      </c>
      <c r="D14" s="3586">
        <v>25</v>
      </c>
      <c r="E14" s="475" t="s">
        <v>1052</v>
      </c>
      <c r="F14" s="436"/>
      <c r="G14" s="436"/>
      <c r="H14" s="436"/>
      <c r="I14" s="437"/>
    </row>
    <row r="15" spans="1:12" ht="12.75">
      <c r="A15" s="3571"/>
      <c r="B15" s="3590"/>
      <c r="C15" s="3595"/>
      <c r="D15" s="3586"/>
      <c r="E15" s="475" t="s">
        <v>1053</v>
      </c>
      <c r="F15" s="436"/>
      <c r="G15" s="436"/>
      <c r="H15" s="436"/>
      <c r="I15" s="437"/>
    </row>
    <row r="16" spans="1:12" ht="12.75">
      <c r="A16" s="3571"/>
      <c r="B16" s="3590"/>
      <c r="C16" s="3594"/>
      <c r="D16" s="3586"/>
      <c r="E16" s="475" t="s">
        <v>1054</v>
      </c>
      <c r="F16" s="436"/>
      <c r="G16" s="436"/>
      <c r="H16" s="436"/>
      <c r="I16" s="437"/>
    </row>
    <row r="17" spans="1:35" ht="14.25">
      <c r="A17" s="438" t="s">
        <v>18</v>
      </c>
      <c r="B17" s="38"/>
      <c r="C17" s="476">
        <f>SUM(C5:C16)</f>
        <v>91</v>
      </c>
      <c r="D17" s="476">
        <f>SUM(D5:D16)</f>
        <v>91</v>
      </c>
      <c r="E17" s="2304"/>
      <c r="F17" s="2304"/>
      <c r="G17" s="2304"/>
      <c r="H17" s="2304"/>
      <c r="I17" s="2304"/>
      <c r="K17" s="2207"/>
      <c r="L17" s="2208" t="s">
        <v>2684</v>
      </c>
      <c r="M17" s="2208" t="s">
        <v>2685</v>
      </c>
    </row>
    <row r="18" spans="1:35" ht="15" thickBot="1">
      <c r="A18" s="439" t="s">
        <v>19</v>
      </c>
      <c r="B18" s="18"/>
      <c r="C18" s="477">
        <f>ROUND(C17/SUM(C17:D17),2)</f>
        <v>0.5</v>
      </c>
      <c r="D18" s="477">
        <f>1-C18</f>
        <v>0.5</v>
      </c>
      <c r="E18" s="2304"/>
      <c r="F18" s="2304"/>
      <c r="G18" s="2304"/>
      <c r="H18" s="2304"/>
      <c r="I18" s="2304"/>
      <c r="K18" s="2207" t="s">
        <v>2498</v>
      </c>
      <c r="L18" s="2207">
        <f>IF(C1="",'数据-汇总表'!E3,SUMIF(项目类型,C1,'数据-汇总表'!E17:E26)+SUMIF(项目类型,C1,'数据-汇总表'!I17:I26))</f>
        <v>144992.93</v>
      </c>
      <c r="M18" s="2207">
        <f>IF(C1="",'数据-汇总表'!E3,SUMIF(项目类型,C1,'数据-汇总表'!E17:E26))</f>
        <v>144992.93</v>
      </c>
    </row>
    <row r="19" spans="1:35" ht="14.25">
      <c r="A19" s="440" t="s">
        <v>344</v>
      </c>
      <c r="B19" s="441" t="s">
        <v>20</v>
      </c>
      <c r="C19" s="478">
        <f ca="1">SUMIF(INDIRECT("'"&amp;C4&amp;"'"&amp;"!A:A"),结果表!B19,INDIRECT("'"&amp;C4&amp;"'"&amp;"!B:B"))</f>
        <v>237367</v>
      </c>
      <c r="D19" s="479">
        <f ca="1">SUMIF(INDIRECT("'"&amp;D4&amp;"'"&amp;"!A:A"),结果表!B19,INDIRECT("'"&amp;D4&amp;"'"&amp;"!B:B"))</f>
        <v>226506</v>
      </c>
      <c r="E19" s="440" t="s">
        <v>343</v>
      </c>
      <c r="F19" s="441" t="s">
        <v>20</v>
      </c>
      <c r="G19" s="480">
        <f ca="1">ROUND(C19*$C$18+D19*$D$18,0)</f>
        <v>231937</v>
      </c>
      <c r="H19" s="442" t="s">
        <v>392</v>
      </c>
      <c r="I19" s="2304"/>
      <c r="K19" s="2207" t="s">
        <v>2499</v>
      </c>
      <c r="L19" s="2207">
        <f>IF(C1="",'数据-汇总表'!D3,SUMIF(项目类型,C1,'数据-汇总表'!D17:D26)+SUMIF(项目类型,C1,'数据-汇总表'!H17:H27))</f>
        <v>24814.06</v>
      </c>
      <c r="M19" s="2207">
        <f>IF(C1="",'数据-汇总表'!D3,SUMIF(项目类型,C1,'数据-汇总表'!D17:D26))</f>
        <v>24814.06</v>
      </c>
    </row>
    <row r="20" spans="1:35" ht="14.25">
      <c r="A20" s="443"/>
      <c r="B20" s="444" t="s">
        <v>21</v>
      </c>
      <c r="C20" s="481">
        <f ca="1">SUMIF(INDIRECT("'"&amp;C4&amp;"'"&amp;"!A:A"),结果表!B20,INDIRECT("'"&amp;C4&amp;"'"&amp;"!B:B"))</f>
        <v>16371</v>
      </c>
      <c r="D20" s="482">
        <f ca="1">SUMIF(INDIRECT("'"&amp;D4&amp;"'"&amp;"!A:A"),结果表!B20,INDIRECT("'"&amp;D4&amp;"'"&amp;"!B:B"))</f>
        <v>15622</v>
      </c>
      <c r="E20" s="443"/>
      <c r="F20" s="444" t="s">
        <v>21</v>
      </c>
      <c r="G20" s="483">
        <f ca="1">ROUND(C20*$C$18+D20*$D$18,0)</f>
        <v>15997</v>
      </c>
      <c r="H20" s="445" t="s">
        <v>391</v>
      </c>
      <c r="I20" s="2304"/>
    </row>
    <row r="21" spans="1:35" ht="15" customHeight="1" thickBot="1">
      <c r="A21" s="447"/>
      <c r="B21" s="448" t="s">
        <v>22</v>
      </c>
      <c r="C21" s="1426">
        <f ca="1">ROUND(C19*10000/L19,0)</f>
        <v>95658</v>
      </c>
      <c r="D21" s="1427">
        <f ca="1">ROUND(D19*10000/L19,0)</f>
        <v>91281</v>
      </c>
      <c r="E21" s="447"/>
      <c r="F21" s="448" t="s">
        <v>22</v>
      </c>
      <c r="G21" s="484">
        <f ca="1">ROUND(G19*10000/L19,0)</f>
        <v>93470</v>
      </c>
      <c r="H21" s="449" t="s">
        <v>391</v>
      </c>
      <c r="I21" s="2304"/>
    </row>
    <row r="22" spans="1:35" ht="15" thickBot="1">
      <c r="A22" s="280" t="s">
        <v>345</v>
      </c>
      <c r="B22" s="1428"/>
      <c r="C22" s="1429"/>
      <c r="D22" s="1430">
        <f ca="1">IF(C19&lt;D19,D19/C19-1,C19/D19-1)</f>
        <v>4.7950164675549356E-2</v>
      </c>
      <c r="E22" s="2304"/>
      <c r="F22" s="2304"/>
      <c r="G22" s="2304"/>
      <c r="H22" s="2304"/>
      <c r="I22" s="2304"/>
      <c r="L22" s="1471" t="s">
        <v>3531</v>
      </c>
    </row>
    <row r="23" spans="1:35" ht="12.75" thickBot="1">
      <c r="A23" s="1247"/>
      <c r="B23" s="1247"/>
      <c r="C23" s="1247"/>
      <c r="D23" s="1247"/>
      <c r="E23" s="2304"/>
      <c r="F23" s="2304"/>
      <c r="G23" s="2304"/>
      <c r="H23" s="2304"/>
      <c r="I23" s="2304"/>
      <c r="L23" s="1471">
        <f>M18+183000</f>
        <v>327992.93</v>
      </c>
    </row>
    <row r="24" spans="1:35" ht="14.25">
      <c r="A24" s="3614" t="s">
        <v>341</v>
      </c>
      <c r="B24" s="441" t="s">
        <v>20</v>
      </c>
      <c r="C24" s="480">
        <f>IF(B30=0,0,D30)</f>
        <v>0</v>
      </c>
      <c r="D24" s="450"/>
      <c r="E24" s="2304"/>
      <c r="F24" s="2304"/>
      <c r="G24" s="2304"/>
      <c r="H24" s="2304"/>
      <c r="I24" s="2304"/>
    </row>
    <row r="25" spans="1:35" ht="14.25">
      <c r="A25" s="3615"/>
      <c r="B25" s="444" t="s">
        <v>21</v>
      </c>
      <c r="C25" s="485">
        <f>IF(B30=0,0,C30)</f>
        <v>0</v>
      </c>
      <c r="D25" s="451"/>
      <c r="E25" s="2304"/>
      <c r="F25" s="2304"/>
      <c r="G25" s="2304"/>
      <c r="H25" s="2304"/>
      <c r="I25" s="2304"/>
      <c r="K25" s="3388"/>
      <c r="L25" s="3388"/>
      <c r="M25" s="3388"/>
    </row>
    <row r="26" spans="1:35" ht="13.5" customHeight="1">
      <c r="A26" s="452" t="s">
        <v>342</v>
      </c>
      <c r="B26" s="453" t="s">
        <v>174</v>
      </c>
      <c r="C26" s="453" t="s">
        <v>175</v>
      </c>
      <c r="D26" s="454" t="s">
        <v>176</v>
      </c>
      <c r="E26" s="2304"/>
      <c r="F26" s="2304"/>
      <c r="G26" s="2304"/>
      <c r="H26" s="2304"/>
      <c r="I26" s="2304"/>
      <c r="K26" s="3389"/>
      <c r="L26" s="3388"/>
      <c r="M26" s="3388"/>
    </row>
    <row r="27" spans="1:35" ht="14.25">
      <c r="A27" s="452"/>
      <c r="B27" s="486">
        <v>0</v>
      </c>
      <c r="C27" s="486">
        <v>0</v>
      </c>
      <c r="D27" s="487">
        <f>ROUND(C27*B27/10000,0)</f>
        <v>0</v>
      </c>
      <c r="E27" s="2304"/>
      <c r="F27" s="2304"/>
      <c r="G27" s="2304"/>
      <c r="H27" s="2304"/>
      <c r="I27" s="2304"/>
      <c r="K27" s="3388"/>
      <c r="L27" s="3388"/>
      <c r="M27" s="3388"/>
    </row>
    <row r="28" spans="1:35" ht="14.25">
      <c r="A28" s="452"/>
      <c r="B28" s="486"/>
      <c r="C28" s="486"/>
      <c r="D28" s="487"/>
      <c r="E28" s="2304"/>
      <c r="F28" s="2304"/>
      <c r="G28" s="2304"/>
      <c r="H28" s="2304"/>
      <c r="I28" s="2304"/>
      <c r="K28" s="3389"/>
      <c r="L28" s="3390"/>
      <c r="M28" s="3388"/>
    </row>
    <row r="29" spans="1:35" ht="14.25">
      <c r="A29" s="452"/>
      <c r="B29" s="486"/>
      <c r="C29" s="486"/>
      <c r="D29" s="487"/>
      <c r="E29" s="2304"/>
      <c r="F29" s="2304"/>
      <c r="G29" s="2304"/>
      <c r="H29" s="2304"/>
      <c r="I29" s="2304"/>
      <c r="K29" s="3607"/>
      <c r="L29" s="3607"/>
      <c r="M29" s="3388"/>
    </row>
    <row r="30" spans="1:35" ht="14.25">
      <c r="A30" s="455" t="s">
        <v>340</v>
      </c>
      <c r="B30" s="488">
        <f>SUM(B27:B29)</f>
        <v>0</v>
      </c>
      <c r="C30" s="488" t="e">
        <f>ROUND(D30*10000/B30,0)</f>
        <v>#DIV/0!</v>
      </c>
      <c r="D30" s="488">
        <f>SUM(D27:D29)</f>
        <v>0</v>
      </c>
      <c r="E30" s="2304"/>
      <c r="F30" s="2304"/>
      <c r="G30" s="2304"/>
      <c r="H30" s="2304"/>
      <c r="I30" s="2304"/>
      <c r="K30" s="3391"/>
      <c r="L30" s="3391"/>
      <c r="M30" s="3391"/>
    </row>
    <row r="31" spans="1:35" s="1249" customFormat="1" ht="14.25" thickBot="1">
      <c r="A31" s="456"/>
      <c r="B31" s="456"/>
      <c r="C31" s="456"/>
      <c r="D31" s="456"/>
      <c r="E31" s="2304"/>
      <c r="F31" s="2304"/>
      <c r="G31" s="2304"/>
      <c r="H31" s="2304"/>
      <c r="I31" s="2304"/>
      <c r="J31" s="1471"/>
      <c r="K31" s="3391" t="s">
        <v>3585</v>
      </c>
      <c r="L31" s="3391"/>
      <c r="M31" s="3391"/>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339</v>
      </c>
      <c r="B32" s="458"/>
      <c r="C32" s="489">
        <f ca="1">IF(D32="总价",G19-C24,G20-C25)</f>
        <v>231937</v>
      </c>
      <c r="D32" s="2116" t="s">
        <v>373</v>
      </c>
      <c r="E32" s="2304"/>
      <c r="F32" s="2304"/>
      <c r="G32" s="2304"/>
      <c r="H32" s="2304"/>
      <c r="I32" s="2304"/>
      <c r="K32" s="3391">
        <v>5000</v>
      </c>
      <c r="L32" s="3391"/>
      <c r="M32" s="3391"/>
    </row>
    <row r="33" spans="1:15" ht="13.5">
      <c r="A33" s="461" t="s">
        <v>1000</v>
      </c>
      <c r="B33" s="2115"/>
      <c r="C33" s="2913" t="s">
        <v>3101</v>
      </c>
      <c r="D33" s="2916" t="s">
        <v>2790</v>
      </c>
      <c r="E33" s="2113" t="s">
        <v>2475</v>
      </c>
      <c r="F33" s="2114" t="str">
        <f>IF(D32="楼面单价","取值（单价）","取值（总价）")</f>
        <v>取值（总价）</v>
      </c>
      <c r="G33" s="2304"/>
      <c r="H33" s="2304"/>
      <c r="I33" s="2304"/>
      <c r="J33" s="1471" t="s">
        <v>3586</v>
      </c>
      <c r="K33" s="3392">
        <f>'数据-基础表'!I13+'数据-基础表'!M14+'数据-基础表'!I18+'数据-基础表'!K20+'数据-基础表'!O16+'数据-基础表'!Q17</f>
        <v>380864.75</v>
      </c>
      <c r="L33" s="3391"/>
      <c r="M33" s="3393"/>
      <c r="N33" s="3381"/>
    </row>
    <row r="34" spans="1:15" ht="15">
      <c r="A34" s="462"/>
      <c r="B34" s="463" t="s">
        <v>1003</v>
      </c>
      <c r="C34" s="493">
        <f ca="1">IF(C33="自定义",F34,C32-C35)</f>
        <v>187869</v>
      </c>
      <c r="D34" s="2117">
        <f ca="1">IF(C33="自定义",ROUND(C34/C32,3),IF(C33="收益比率",SUMIF(INDIRECT("'"&amp;D33&amp;"'"&amp;"!b:b"),"土地收益比率",INDIRECT("'"&amp;D33&amp;"'"&amp;"!c:c")),SUMIF(INDIRECT("'"&amp;D33&amp;"'"&amp;"!b:b"),"土地成本比率",INDIRECT("'"&amp;D33&amp;"'"&amp;"!c:c"))))</f>
        <v>0.81</v>
      </c>
      <c r="E34" s="2914" t="s">
        <v>2476</v>
      </c>
      <c r="F34" s="3292">
        <v>0</v>
      </c>
      <c r="G34" s="2304"/>
      <c r="H34" s="2304"/>
      <c r="I34" s="2304"/>
      <c r="J34" s="1471" t="s">
        <v>3587</v>
      </c>
      <c r="K34" s="3392">
        <f>'数据-基础表'!K15</f>
        <v>125232.87</v>
      </c>
      <c r="L34" s="3391"/>
      <c r="M34" s="3393"/>
      <c r="N34" s="3381"/>
    </row>
    <row r="35" spans="1:15" ht="15.75" thickBot="1">
      <c r="A35" s="465"/>
      <c r="B35" s="2917" t="s">
        <v>1005</v>
      </c>
      <c r="C35" s="2918">
        <f ca="1">IF(C33="自定义",F35,ROUND(C32*D35,0))</f>
        <v>44068</v>
      </c>
      <c r="D35" s="2919">
        <f ca="1">IF(C33="自定义",ROUND(C35/C32,3),IF(C33="收益比率",SUMIF(INDIRECT("'"&amp;D33&amp;"'"&amp;"!b:b"),"建筑物收益比率",INDIRECT("'"&amp;D33&amp;"'"&amp;"!c:c")),SUMIF(INDIRECT("'"&amp;D33&amp;"'"&amp;"!b:b"),"建筑物成本比率",INDIRECT("'"&amp;D33&amp;"'"&amp;"!c:c"))))</f>
        <v>0.19</v>
      </c>
      <c r="E35" s="2915" t="s">
        <v>2477</v>
      </c>
      <c r="F35" s="499">
        <v>0</v>
      </c>
      <c r="G35" s="2304"/>
      <c r="H35" s="2304"/>
      <c r="I35" s="2304"/>
      <c r="K35" s="3391"/>
      <c r="L35" s="3391"/>
      <c r="M35" s="3391"/>
    </row>
    <row r="36" spans="1:15" ht="15.75" thickBot="1">
      <c r="A36" s="3599" t="s">
        <v>1001</v>
      </c>
      <c r="B36" s="459" t="s">
        <v>1002</v>
      </c>
      <c r="C36" s="490">
        <v>90000</v>
      </c>
      <c r="D36" s="460" t="s">
        <v>3570</v>
      </c>
      <c r="E36" s="1250"/>
      <c r="F36" s="2305"/>
      <c r="G36" s="2304"/>
      <c r="H36" s="2304"/>
      <c r="I36" s="2304"/>
      <c r="K36" s="3391"/>
      <c r="L36" s="3391"/>
      <c r="M36" s="3391"/>
    </row>
    <row r="37" spans="1:15" ht="15.75" thickBot="1">
      <c r="A37" s="3600"/>
      <c r="B37" s="13" t="s">
        <v>1004</v>
      </c>
      <c r="C37" s="492">
        <f>ROUND(K32/(K34+K33)*K33,0)</f>
        <v>3763</v>
      </c>
      <c r="D37" s="2253"/>
      <c r="E37" s="2253"/>
      <c r="F37" s="2305"/>
      <c r="G37" s="2304"/>
      <c r="H37" s="2304"/>
      <c r="I37" s="2304"/>
      <c r="K37" s="3392" t="s">
        <v>3596</v>
      </c>
      <c r="L37" s="3391"/>
      <c r="M37" s="3391"/>
    </row>
    <row r="38" spans="1:15" ht="15.75" thickBot="1">
      <c r="A38" s="3601"/>
      <c r="B38" s="464" t="s">
        <v>1006</v>
      </c>
      <c r="C38" s="3422">
        <f>E40+E41+K38</f>
        <v>9541</v>
      </c>
      <c r="D38" s="1251" t="s">
        <v>1007</v>
      </c>
      <c r="E38" s="2253"/>
      <c r="F38" s="2305"/>
      <c r="G38" s="2304"/>
      <c r="H38" s="2304"/>
      <c r="I38" s="2304"/>
      <c r="K38" s="3605">
        <v>4135</v>
      </c>
      <c r="L38" s="3605"/>
      <c r="M38" s="3391"/>
    </row>
    <row r="39" spans="1:15" ht="13.5">
      <c r="A39" s="443" t="s">
        <v>1008</v>
      </c>
      <c r="B39" s="466" t="s">
        <v>1009</v>
      </c>
      <c r="C39" s="467" t="s">
        <v>1010</v>
      </c>
      <c r="D39" s="467" t="s">
        <v>1011</v>
      </c>
      <c r="E39" s="468" t="s">
        <v>1012</v>
      </c>
      <c r="F39" s="2305"/>
      <c r="G39" s="2304"/>
      <c r="H39" s="2304"/>
      <c r="I39" s="2304"/>
      <c r="K39" s="3391"/>
      <c r="L39" s="3391"/>
      <c r="M39" s="3391"/>
    </row>
    <row r="40" spans="1:15" ht="13.5">
      <c r="A40" s="1252" t="s">
        <v>1013</v>
      </c>
      <c r="B40" s="494">
        <f>面积表!H64</f>
        <v>183000</v>
      </c>
      <c r="C40" s="495">
        <v>200</v>
      </c>
      <c r="D40" s="3316">
        <v>0.08</v>
      </c>
      <c r="E40" s="496">
        <f>ROUND(B40*C40*(1+8%)/10000,0)</f>
        <v>3953</v>
      </c>
      <c r="F40" s="2305"/>
      <c r="G40" s="2304"/>
      <c r="H40" s="2304"/>
      <c r="I40" s="2304"/>
      <c r="K40" s="3391"/>
      <c r="L40" s="3391"/>
      <c r="M40" s="3391"/>
    </row>
    <row r="41" spans="1:15" ht="13.5">
      <c r="A41" s="1252" t="s">
        <v>1014</v>
      </c>
      <c r="B41" s="494">
        <f>面积表!H65+面积表!H66</f>
        <v>44838</v>
      </c>
      <c r="C41" s="495">
        <v>300</v>
      </c>
      <c r="D41" s="3316">
        <v>0.08</v>
      </c>
      <c r="E41" s="496">
        <f t="shared" ref="E41" si="0">ROUND(B41*C41*(1+8%)/10000,0)</f>
        <v>1453</v>
      </c>
      <c r="F41" s="2305"/>
      <c r="G41" s="2304"/>
      <c r="H41" s="2304"/>
      <c r="I41" s="2304"/>
      <c r="K41" s="3392"/>
      <c r="L41" s="3391"/>
      <c r="M41" s="3391"/>
    </row>
    <row r="42" spans="1:15" ht="14.25" thickBot="1">
      <c r="A42" s="1253"/>
      <c r="B42" s="497"/>
      <c r="C42" s="498"/>
      <c r="D42" s="3316"/>
      <c r="E42" s="496"/>
      <c r="F42" s="2305"/>
      <c r="G42" s="2304"/>
      <c r="H42" s="2304"/>
      <c r="I42" s="2304"/>
      <c r="K42" s="3606"/>
      <c r="L42" s="3606"/>
      <c r="M42" s="3391"/>
    </row>
    <row r="43" spans="1:15" ht="12">
      <c r="A43" s="241"/>
      <c r="B43" s="241"/>
      <c r="C43" s="241"/>
      <c r="D43" s="241"/>
      <c r="E43" s="241"/>
      <c r="F43" s="1254"/>
      <c r="G43" s="1254"/>
      <c r="H43" s="1254"/>
      <c r="I43" s="1255"/>
    </row>
    <row r="44" spans="1:15" ht="18.75">
      <c r="A44" s="1256" t="s">
        <v>1015</v>
      </c>
      <c r="B44" s="1257"/>
      <c r="C44" s="1257"/>
      <c r="D44" s="1258"/>
      <c r="E44" s="1258"/>
      <c r="F44" s="1259"/>
      <c r="G44" s="1259"/>
      <c r="H44" s="1259"/>
      <c r="I44" s="1259"/>
      <c r="J44" s="1439" t="s">
        <v>377</v>
      </c>
      <c r="K44" s="1440"/>
      <c r="L44" s="1440"/>
      <c r="M44" s="1440"/>
      <c r="N44" s="1440"/>
      <c r="O44" s="1440"/>
    </row>
    <row r="45" spans="1:15" ht="14.25" customHeight="1" thickBot="1">
      <c r="A45" s="3611" t="s">
        <v>1035</v>
      </c>
      <c r="B45" s="3612"/>
      <c r="C45" s="3613"/>
      <c r="D45" s="500">
        <f ca="1">ROUND(H101*F45,0)</f>
        <v>231937</v>
      </c>
      <c r="E45" s="501" t="s">
        <v>1036</v>
      </c>
      <c r="F45" s="502">
        <v>1</v>
      </c>
      <c r="G45" s="503" t="s">
        <v>1037</v>
      </c>
      <c r="H45" s="2304"/>
      <c r="I45" s="2304"/>
      <c r="J45" s="3519" t="s">
        <v>378</v>
      </c>
      <c r="K45" s="3519"/>
      <c r="L45" s="3519"/>
      <c r="M45" s="3519"/>
      <c r="N45" s="3519"/>
      <c r="O45" s="3519"/>
    </row>
    <row r="46" spans="1:15" ht="14.25" customHeight="1">
      <c r="A46" s="3608" t="s">
        <v>451</v>
      </c>
      <c r="B46" s="3609"/>
      <c r="C46" s="3609"/>
      <c r="D46" s="3609"/>
      <c r="E46" s="3609"/>
      <c r="F46" s="3609"/>
      <c r="G46" s="3610"/>
      <c r="H46" s="2306"/>
      <c r="I46" s="2259"/>
      <c r="J46" s="2245">
        <v>1</v>
      </c>
      <c r="K46" s="3519" t="s">
        <v>379</v>
      </c>
      <c r="L46" s="3519"/>
      <c r="M46" s="3520"/>
      <c r="N46" s="3520"/>
      <c r="O46" s="3520"/>
    </row>
    <row r="47" spans="1:15" ht="12" customHeight="1">
      <c r="A47" s="505" t="s">
        <v>452</v>
      </c>
      <c r="B47" s="506"/>
      <c r="C47" s="507"/>
      <c r="D47" s="508" t="s">
        <v>453</v>
      </c>
      <c r="E47" s="319" t="s">
        <v>454</v>
      </c>
      <c r="F47" s="509" t="s">
        <v>1038</v>
      </c>
      <c r="G47" s="510" t="s">
        <v>1039</v>
      </c>
      <c r="H47" s="2306"/>
      <c r="I47" s="2259"/>
      <c r="J47" s="2245">
        <v>2</v>
      </c>
      <c r="K47" s="3519" t="s">
        <v>380</v>
      </c>
      <c r="L47" s="3519"/>
      <c r="M47" s="3521">
        <f>'数据-取费表'!B2</f>
        <v>42959</v>
      </c>
      <c r="N47" s="3521"/>
      <c r="O47" s="3521"/>
    </row>
    <row r="48" spans="1:15" ht="25.5">
      <c r="A48" s="3603" t="s">
        <v>455</v>
      </c>
      <c r="B48" s="3604"/>
      <c r="C48" s="3604"/>
      <c r="D48" s="475">
        <f>IF(H48="情况1",0,IF(H48="情况2",D52,IF(H48="情况3",D53,IF(H48="情况4",D54))))</f>
        <v>0</v>
      </c>
      <c r="E48" s="1946" t="str">
        <f>IF(H48="情况4","(销售额-原购置价)×税（费）率","销售额×税（费）率")</f>
        <v>销售额×税（费）率</v>
      </c>
      <c r="F48" s="511" t="str">
        <f>IF(H48="情况1","免征",'数据-取费表'!B41)</f>
        <v>免征</v>
      </c>
      <c r="G48" s="469" t="s">
        <v>1016</v>
      </c>
      <c r="H48" s="1436" t="s">
        <v>2791</v>
      </c>
      <c r="I48" s="2306"/>
      <c r="J48" s="2245">
        <v>3</v>
      </c>
      <c r="K48" s="3519" t="s">
        <v>1017</v>
      </c>
      <c r="L48" s="3519"/>
      <c r="M48" s="3522">
        <f ca="1">H101</f>
        <v>231937</v>
      </c>
      <c r="N48" s="3522"/>
      <c r="O48" s="3522"/>
    </row>
    <row r="49" spans="1:15" ht="25.5" customHeight="1">
      <c r="A49" s="512" t="s">
        <v>1040</v>
      </c>
      <c r="B49" s="3531" t="s">
        <v>1041</v>
      </c>
      <c r="C49" s="3531"/>
      <c r="D49" s="513">
        <v>0</v>
      </c>
      <c r="E49" s="318" t="s">
        <v>1042</v>
      </c>
      <c r="F49" s="323" t="s">
        <v>335</v>
      </c>
      <c r="G49" s="3557"/>
      <c r="H49" s="2304"/>
      <c r="I49" s="2307"/>
      <c r="J49" s="2245">
        <v>4</v>
      </c>
      <c r="K49" s="3519" t="str">
        <f>IF(项目基本情况!E8="房地产抵押价值","房地产抵押价值","抵押担保权已注销时的房地产抵押价值")</f>
        <v>抵押担保权已注销时的房地产抵押价值</v>
      </c>
      <c r="L49" s="3519"/>
      <c r="M49" s="3522">
        <f ca="1">IF(项目基本情况!E8="房地产抵押价值",H107,H109)</f>
        <v>218633</v>
      </c>
      <c r="N49" s="3522"/>
      <c r="O49" s="3522"/>
    </row>
    <row r="50" spans="1:15" ht="25.5" customHeight="1">
      <c r="A50" s="514"/>
      <c r="B50" s="3531" t="s">
        <v>458</v>
      </c>
      <c r="C50" s="3531"/>
      <c r="D50" s="515"/>
      <c r="E50" s="326"/>
      <c r="F50" s="516"/>
      <c r="G50" s="3558"/>
      <c r="H50" s="2304"/>
      <c r="I50" s="2307"/>
      <c r="J50" s="3519" t="s">
        <v>381</v>
      </c>
      <c r="K50" s="3519"/>
      <c r="L50" s="3519"/>
      <c r="M50" s="3519"/>
      <c r="N50" s="3519"/>
      <c r="O50" s="3519"/>
    </row>
    <row r="51" spans="1:15" ht="12" customHeight="1">
      <c r="A51" s="517"/>
      <c r="B51" s="3531" t="s">
        <v>459</v>
      </c>
      <c r="C51" s="3531"/>
      <c r="D51" s="518"/>
      <c r="E51" s="325"/>
      <c r="F51" s="516"/>
      <c r="G51" s="3559"/>
      <c r="H51" s="2304"/>
      <c r="I51" s="2307"/>
      <c r="J51" s="2243" t="s">
        <v>382</v>
      </c>
      <c r="K51" s="3519" t="s">
        <v>383</v>
      </c>
      <c r="L51" s="3519"/>
      <c r="M51" s="2243" t="s">
        <v>384</v>
      </c>
      <c r="N51" s="2243" t="s">
        <v>385</v>
      </c>
      <c r="O51" s="2243" t="s">
        <v>386</v>
      </c>
    </row>
    <row r="52" spans="1:15" ht="24" customHeight="1">
      <c r="A52" s="519" t="s">
        <v>460</v>
      </c>
      <c r="B52" s="3531" t="s">
        <v>461</v>
      </c>
      <c r="C52" s="3531"/>
      <c r="D52" s="518">
        <f ca="1">ROUND(D45*'数据-取费表'!B41/(1+'数据-取费表'!B42),0)</f>
        <v>12370</v>
      </c>
      <c r="E52" s="305" t="s">
        <v>462</v>
      </c>
      <c r="F52" s="520">
        <f>'数据-取费表'!B41</f>
        <v>5.6000000000000001E-2</v>
      </c>
      <c r="G52" s="470"/>
      <c r="H52" s="2304"/>
      <c r="I52" s="2307"/>
      <c r="J52" s="2245">
        <v>1</v>
      </c>
      <c r="K52" s="3552" t="s">
        <v>1018</v>
      </c>
      <c r="L52" s="3552"/>
      <c r="M52" s="1441">
        <f>D48</f>
        <v>0</v>
      </c>
      <c r="N52" s="2244" t="str">
        <f>E48</f>
        <v>销售额×税（费）率</v>
      </c>
      <c r="O52" s="1442" t="str">
        <f>F48</f>
        <v>免征</v>
      </c>
    </row>
    <row r="53" spans="1:15" ht="12" customHeight="1">
      <c r="A53" s="519" t="s">
        <v>463</v>
      </c>
      <c r="B53" s="3532" t="s">
        <v>464</v>
      </c>
      <c r="C53" s="3533"/>
      <c r="D53" s="518">
        <f ca="1">ROUND(D45*'数据-取费表'!B41/(1+'数据-取费表'!B42),0)</f>
        <v>12370</v>
      </c>
      <c r="E53" s="305" t="s">
        <v>462</v>
      </c>
      <c r="F53" s="520">
        <f>'数据-取费表'!B41</f>
        <v>5.6000000000000001E-2</v>
      </c>
      <c r="G53" s="470"/>
      <c r="H53" s="2304"/>
      <c r="I53" s="2307"/>
      <c r="J53" s="2245">
        <v>2</v>
      </c>
      <c r="K53" s="3552" t="s">
        <v>1019</v>
      </c>
      <c r="L53" s="3552"/>
      <c r="M53" s="1441">
        <f t="shared" ref="M53:O54" ca="1" si="1">D55</f>
        <v>116</v>
      </c>
      <c r="N53" s="2244" t="str">
        <f t="shared" si="1"/>
        <v>销售额×税（费）率</v>
      </c>
      <c r="O53" s="1442">
        <f t="shared" si="1"/>
        <v>5.0000000000000001E-4</v>
      </c>
    </row>
    <row r="54" spans="1:15" ht="12" customHeight="1">
      <c r="A54" s="519" t="s">
        <v>465</v>
      </c>
      <c r="B54" s="3532" t="s">
        <v>466</v>
      </c>
      <c r="C54" s="3533"/>
      <c r="D54" s="518">
        <f ca="1">C68</f>
        <v>12370</v>
      </c>
      <c r="E54" s="325" t="s">
        <v>467</v>
      </c>
      <c r="F54" s="520">
        <f>'数据-取费表'!B41</f>
        <v>5.6000000000000001E-2</v>
      </c>
      <c r="G54" s="470"/>
      <c r="H54" s="2308"/>
      <c r="I54" s="2307"/>
      <c r="J54" s="2245">
        <v>3</v>
      </c>
      <c r="K54" s="3552" t="s">
        <v>1020</v>
      </c>
      <c r="L54" s="3552"/>
      <c r="M54" s="1441">
        <f t="shared" ca="1" si="1"/>
        <v>131276</v>
      </c>
      <c r="N54" s="2244" t="str">
        <f t="shared" si="1"/>
        <v>增值额×税（费）率</v>
      </c>
      <c r="O54" s="1443" t="str">
        <f t="shared" si="1"/>
        <v>——</v>
      </c>
    </row>
    <row r="55" spans="1:15" ht="24" customHeight="1">
      <c r="A55" s="3616" t="s">
        <v>468</v>
      </c>
      <c r="B55" s="3604"/>
      <c r="C55" s="3604"/>
      <c r="D55" s="521">
        <f ca="1">IF(H55="个人住宅",0,ROUND(D45*I55,0))</f>
        <v>116</v>
      </c>
      <c r="E55" s="305" t="s">
        <v>469</v>
      </c>
      <c r="F55" s="520">
        <f>IF(H55="正常",I55,"免征")</f>
        <v>5.0000000000000001E-4</v>
      </c>
      <c r="G55" s="470"/>
      <c r="H55" s="1436" t="s">
        <v>259</v>
      </c>
      <c r="I55" s="522">
        <f>'数据-取费表'!B49</f>
        <v>5.0000000000000001E-4</v>
      </c>
      <c r="J55" s="2245" t="str">
        <f>IF(H59="非个人房产","",4)</f>
        <v/>
      </c>
      <c r="K55" s="3552" t="str">
        <f>IF(H59="非个人房产","——","个人所得税")</f>
        <v>——</v>
      </c>
      <c r="L55" s="3552"/>
      <c r="M55" s="1444" t="str">
        <f>D59</f>
        <v>——</v>
      </c>
      <c r="N55" s="1445" t="str">
        <f>E59</f>
        <v>——</v>
      </c>
      <c r="O55" s="1446" t="str">
        <f>F59</f>
        <v>——</v>
      </c>
    </row>
    <row r="56" spans="1:15" ht="24.75">
      <c r="A56" s="3616" t="s">
        <v>470</v>
      </c>
      <c r="B56" s="3604"/>
      <c r="C56" s="3604"/>
      <c r="D56" s="521">
        <f ca="1">IF(H56="个人住宅",D57,D58)</f>
        <v>131276</v>
      </c>
      <c r="E56" s="305" t="s">
        <v>471</v>
      </c>
      <c r="F56" s="520" t="str">
        <f>IF(H56="正常",F58,"免征")</f>
        <v>——</v>
      </c>
      <c r="G56" s="1260" t="s">
        <v>1021</v>
      </c>
      <c r="H56" s="1435" t="s">
        <v>259</v>
      </c>
      <c r="I56" s="2309"/>
      <c r="J56" s="3563">
        <f>IF(H59="非个人房产",4,5)</f>
        <v>4</v>
      </c>
      <c r="K56" s="3552" t="s">
        <v>1022</v>
      </c>
      <c r="L56" s="1447" t="s">
        <v>387</v>
      </c>
      <c r="M56" s="1448"/>
      <c r="N56" s="1449">
        <f ca="1">SUMIF(M52:M55,"&lt;9e307")</f>
        <v>131392</v>
      </c>
      <c r="O56" s="1450"/>
    </row>
    <row r="57" spans="1:15" ht="12.75">
      <c r="A57" s="519" t="s">
        <v>456</v>
      </c>
      <c r="B57" s="3577" t="s">
        <v>472</v>
      </c>
      <c r="C57" s="3578"/>
      <c r="D57" s="523">
        <v>0</v>
      </c>
      <c r="E57" s="318" t="s">
        <v>457</v>
      </c>
      <c r="F57" s="491"/>
      <c r="G57" s="470"/>
      <c r="H57" s="2309"/>
      <c r="I57" s="2309"/>
      <c r="J57" s="3563"/>
      <c r="K57" s="3552"/>
      <c r="L57" s="1447" t="s">
        <v>388</v>
      </c>
      <c r="M57" s="1451"/>
      <c r="N57" s="1452" t="str">
        <f ca="1">NUMBERSTRING(INT(N56*10000),2)&amp;"元整"</f>
        <v>壹拾叁亿壹仟叁佰玖拾贰万元整</v>
      </c>
      <c r="O57" s="1453"/>
    </row>
    <row r="58" spans="1:15" ht="24.75">
      <c r="A58" s="519" t="s">
        <v>460</v>
      </c>
      <c r="B58" s="3577" t="s">
        <v>473</v>
      </c>
      <c r="C58" s="3602"/>
      <c r="D58" s="521">
        <f ca="1">IF(H58="转让取得",C81,C97)</f>
        <v>131276</v>
      </c>
      <c r="E58" s="305" t="s">
        <v>471</v>
      </c>
      <c r="F58" s="319" t="s">
        <v>335</v>
      </c>
      <c r="G58" s="470"/>
      <c r="H58" s="1435" t="s">
        <v>1478</v>
      </c>
      <c r="I58" s="2309"/>
      <c r="J58" s="3553">
        <f>IF(H59="非个人房产",5,6)</f>
        <v>5</v>
      </c>
      <c r="K58" s="3552" t="s">
        <v>336</v>
      </c>
      <c r="L58" s="2244" t="s">
        <v>387</v>
      </c>
      <c r="M58" s="1454"/>
      <c r="N58" s="1455">
        <f ca="1">M49-N56</f>
        <v>87241</v>
      </c>
      <c r="O58" s="1456"/>
    </row>
    <row r="59" spans="1:15" ht="24.75" thickBot="1">
      <c r="A59" s="3555" t="s">
        <v>474</v>
      </c>
      <c r="B59" s="3556"/>
      <c r="C59" s="3556"/>
      <c r="D59" s="524" t="str">
        <f>IF(H59="非个人房产","——",IF(H59="个人住宅",0,ROUND(D45*I59,0)))</f>
        <v>——</v>
      </c>
      <c r="E59" s="525" t="str">
        <f>IF(H59="非个人房产","——","销售额×税（费）率")</f>
        <v>——</v>
      </c>
      <c r="F59" s="526" t="str">
        <f>IF(H59="非个人房产","——",IF(H59="个人住宅","免征",I59))</f>
        <v>——</v>
      </c>
      <c r="G59" s="1261" t="s">
        <v>334</v>
      </c>
      <c r="H59" s="1435" t="s">
        <v>1477</v>
      </c>
      <c r="I59" s="527">
        <v>0.01</v>
      </c>
      <c r="J59" s="3554"/>
      <c r="K59" s="3552"/>
      <c r="L59" s="1447" t="s">
        <v>388</v>
      </c>
      <c r="M59" s="1451"/>
      <c r="N59" s="1452" t="str">
        <f ca="1">NUMBERSTRING(INT(N58*10000),2)&amp;"元整"</f>
        <v>捌亿柒仟贰佰肆拾壹万元整</v>
      </c>
      <c r="O59" s="1453"/>
    </row>
    <row r="60" spans="1:15" ht="12" customHeight="1">
      <c r="A60" s="1262"/>
      <c r="B60" s="1247"/>
      <c r="C60" s="1247"/>
      <c r="D60" s="1247"/>
      <c r="E60" s="229"/>
      <c r="F60" s="2309"/>
      <c r="G60" s="2309"/>
      <c r="H60" s="2310"/>
      <c r="I60" s="2304"/>
      <c r="J60" s="2245">
        <f>IF(H59="非个人房产",6,7)</f>
        <v>6</v>
      </c>
      <c r="K60" s="3552" t="s">
        <v>389</v>
      </c>
      <c r="L60" s="3552"/>
      <c r="M60" s="1457"/>
      <c r="N60" s="1458">
        <f ca="1">ROUND(N58*10000/'数据-汇总表'!E3,0)</f>
        <v>6017</v>
      </c>
      <c r="O60" s="1459"/>
    </row>
    <row r="61" spans="1:15" ht="13.5" thickBot="1">
      <c r="A61" s="3526" t="s">
        <v>475</v>
      </c>
      <c r="B61" s="3526"/>
      <c r="C61" s="3526"/>
      <c r="D61" s="3526"/>
      <c r="E61" s="3526"/>
      <c r="F61" s="2309"/>
      <c r="G61" s="2309"/>
      <c r="H61" s="2310"/>
      <c r="I61" s="2304"/>
    </row>
    <row r="62" spans="1:15" ht="12.75">
      <c r="A62" s="3569" t="s">
        <v>476</v>
      </c>
      <c r="B62" s="3570"/>
      <c r="C62" s="1940"/>
      <c r="D62" s="1940" t="s">
        <v>484</v>
      </c>
      <c r="E62" s="528" t="s">
        <v>485</v>
      </c>
      <c r="F62" s="2309"/>
      <c r="G62" s="2309"/>
      <c r="H62" s="2310"/>
      <c r="I62" s="2304"/>
    </row>
    <row r="63" spans="1:15" ht="12.75">
      <c r="A63" s="539" t="s">
        <v>2247</v>
      </c>
      <c r="B63" s="529" t="s">
        <v>477</v>
      </c>
      <c r="C63" s="530">
        <f ca="1">ROUND((C64+C65)/(1+'数据-取费表'!B42),0)</f>
        <v>220892</v>
      </c>
      <c r="D63" s="531"/>
      <c r="E63" s="532"/>
      <c r="F63" s="2309"/>
      <c r="G63" s="2309"/>
      <c r="H63" s="2310"/>
      <c r="I63" s="2304"/>
    </row>
    <row r="64" spans="1:15" ht="12.75">
      <c r="A64" s="533" t="s">
        <v>2242</v>
      </c>
      <c r="B64" s="534" t="s">
        <v>478</v>
      </c>
      <c r="C64" s="535">
        <f ca="1">D45</f>
        <v>231937</v>
      </c>
      <c r="D64" s="536" t="s">
        <v>331</v>
      </c>
      <c r="E64" s="537"/>
      <c r="F64" s="2309"/>
      <c r="G64" s="2309"/>
      <c r="H64" s="2310"/>
      <c r="I64" s="2304"/>
    </row>
    <row r="65" spans="1:35" ht="12.75">
      <c r="A65" s="533" t="s">
        <v>2243</v>
      </c>
      <c r="B65" s="534" t="s">
        <v>479</v>
      </c>
      <c r="C65" s="538">
        <v>0</v>
      </c>
      <c r="D65" s="536"/>
      <c r="E65" s="537"/>
      <c r="F65" s="2309"/>
      <c r="G65" s="2309"/>
      <c r="H65" s="2310"/>
      <c r="I65" s="2304"/>
    </row>
    <row r="66" spans="1:35" ht="20.25">
      <c r="A66" s="539" t="s">
        <v>2244</v>
      </c>
      <c r="B66" s="540" t="s">
        <v>480</v>
      </c>
      <c r="C66" s="541">
        <v>0</v>
      </c>
      <c r="D66" s="542" t="s">
        <v>331</v>
      </c>
      <c r="E66" s="537"/>
      <c r="F66" s="2309"/>
      <c r="G66" s="2309"/>
      <c r="H66" s="2310"/>
      <c r="I66" s="2304"/>
      <c r="J66" s="3535" t="s">
        <v>3557</v>
      </c>
      <c r="K66" s="3535"/>
      <c r="L66" s="3535"/>
      <c r="M66" s="3535"/>
    </row>
    <row r="67" spans="1:35" ht="14.25" thickBot="1">
      <c r="A67" s="539" t="s">
        <v>2245</v>
      </c>
      <c r="B67" s="540" t="s">
        <v>481</v>
      </c>
      <c r="C67" s="543">
        <f ca="1">C63-C66</f>
        <v>220892</v>
      </c>
      <c r="D67" s="536" t="s">
        <v>331</v>
      </c>
      <c r="E67" s="537"/>
      <c r="F67" s="2309"/>
      <c r="G67" s="2309"/>
      <c r="H67" s="2310"/>
      <c r="I67" s="2304"/>
      <c r="J67" s="3407"/>
      <c r="K67" s="3407"/>
      <c r="L67" s="3407"/>
      <c r="M67" s="3408" t="s">
        <v>3558</v>
      </c>
    </row>
    <row r="68" spans="1:35" ht="15" thickBot="1">
      <c r="A68" s="544" t="s">
        <v>2246</v>
      </c>
      <c r="B68" s="545" t="s">
        <v>482</v>
      </c>
      <c r="C68" s="546">
        <f ca="1">IF(C67&lt;=0,0,ROUND(C67*D68,0))</f>
        <v>12370</v>
      </c>
      <c r="D68" s="547">
        <f>'数据-取费表'!B41</f>
        <v>5.6000000000000001E-2</v>
      </c>
      <c r="E68" s="548"/>
      <c r="F68" s="2309"/>
      <c r="G68" s="2309"/>
      <c r="H68" s="2310"/>
      <c r="I68" s="2304"/>
      <c r="J68" s="3409" t="s">
        <v>3559</v>
      </c>
      <c r="K68" s="3410" t="s">
        <v>3560</v>
      </c>
      <c r="L68" s="3411" t="s">
        <v>3561</v>
      </c>
      <c r="M68" s="3412" t="s">
        <v>3562</v>
      </c>
    </row>
    <row r="69" spans="1:35" s="1249" customFormat="1" ht="20.25" customHeight="1">
      <c r="A69" s="1263"/>
      <c r="B69" s="1264"/>
      <c r="C69" s="1265"/>
      <c r="D69" s="1266"/>
      <c r="E69" s="1267"/>
      <c r="F69" s="229"/>
      <c r="G69" s="229"/>
      <c r="H69" s="241"/>
      <c r="I69" s="1247"/>
      <c r="J69" s="3413">
        <v>1</v>
      </c>
      <c r="K69" s="3414" t="s">
        <v>3563</v>
      </c>
      <c r="L69" s="3415" t="s">
        <v>3564</v>
      </c>
      <c r="M69" s="3416">
        <v>698910000</v>
      </c>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575" t="s">
        <v>483</v>
      </c>
      <c r="B70" s="3576"/>
      <c r="C70" s="3576"/>
      <c r="D70" s="3576"/>
      <c r="E70" s="3576"/>
      <c r="F70" s="3576"/>
      <c r="G70" s="3576"/>
      <c r="H70" s="3576"/>
      <c r="I70" s="1268"/>
      <c r="J70" s="3413">
        <v>2</v>
      </c>
      <c r="K70" s="3417" t="s">
        <v>3565</v>
      </c>
      <c r="L70" s="3415" t="s">
        <v>3564</v>
      </c>
      <c r="M70" s="3418">
        <v>100000000</v>
      </c>
      <c r="N70" s="2159"/>
      <c r="O70" s="2159"/>
      <c r="P70" s="2159"/>
      <c r="Q70" s="2159"/>
      <c r="R70" s="2159"/>
      <c r="S70" s="2159"/>
      <c r="T70" s="2159"/>
      <c r="U70" s="2159"/>
      <c r="V70" s="2159"/>
      <c r="W70" s="2159"/>
      <c r="X70" s="2159"/>
      <c r="Y70" s="2159"/>
      <c r="Z70" s="2159"/>
      <c r="AA70" s="1460"/>
      <c r="AB70" s="1460"/>
      <c r="AC70" s="1460"/>
      <c r="AD70" s="1460"/>
      <c r="AE70" s="1460"/>
      <c r="AF70" s="1460"/>
      <c r="AG70" s="1460"/>
      <c r="AH70" s="1460"/>
      <c r="AI70" s="1460"/>
    </row>
    <row r="71" spans="1:35" s="1269" customFormat="1" ht="14.25">
      <c r="A71" s="3569" t="s">
        <v>476</v>
      </c>
      <c r="B71" s="3570"/>
      <c r="C71" s="1940"/>
      <c r="D71" s="1940" t="s">
        <v>484</v>
      </c>
      <c r="E71" s="549" t="s">
        <v>485</v>
      </c>
      <c r="F71" s="550"/>
      <c r="G71" s="550"/>
      <c r="H71" s="551"/>
      <c r="I71" s="2311"/>
      <c r="J71" s="3413"/>
      <c r="K71" s="3417"/>
      <c r="L71" s="3415"/>
      <c r="M71" s="3418"/>
      <c r="N71" s="2159"/>
      <c r="O71" s="2159"/>
      <c r="P71" s="2159"/>
      <c r="Q71" s="2159"/>
      <c r="R71" s="2159"/>
      <c r="S71" s="2159"/>
      <c r="T71" s="2159"/>
      <c r="U71" s="2159"/>
      <c r="V71" s="2159"/>
      <c r="W71" s="2159"/>
      <c r="X71" s="2159"/>
      <c r="Y71" s="2159"/>
      <c r="Z71" s="2159"/>
      <c r="AA71" s="1460"/>
      <c r="AB71" s="1460"/>
      <c r="AC71" s="1460"/>
      <c r="AD71" s="1460"/>
      <c r="AE71" s="1460"/>
      <c r="AF71" s="1460"/>
      <c r="AG71" s="1460"/>
      <c r="AH71" s="1460"/>
      <c r="AI71" s="1460"/>
    </row>
    <row r="72" spans="1:35" s="1269" customFormat="1" ht="14.25">
      <c r="A72" s="539" t="s">
        <v>2247</v>
      </c>
      <c r="B72" s="540" t="s">
        <v>486</v>
      </c>
      <c r="C72" s="543">
        <f ca="1">ROUND(D45/(1+'数据-取费表'!B42),0)</f>
        <v>220892</v>
      </c>
      <c r="D72" s="536" t="s">
        <v>331</v>
      </c>
      <c r="E72" s="1943"/>
      <c r="F72" s="1944"/>
      <c r="G72" s="1944"/>
      <c r="H72" s="552"/>
      <c r="I72" s="2311"/>
      <c r="J72" s="3536" t="s">
        <v>3554</v>
      </c>
      <c r="K72" s="3536"/>
      <c r="L72" s="3419"/>
      <c r="M72" s="3418">
        <f>SUM(M69:M71)</f>
        <v>798910000</v>
      </c>
      <c r="N72" s="2159"/>
      <c r="O72" s="2159"/>
      <c r="P72" s="2159"/>
      <c r="Q72" s="2159"/>
      <c r="R72" s="2159"/>
      <c r="S72" s="2159"/>
      <c r="T72" s="2159"/>
      <c r="U72" s="2159"/>
      <c r="V72" s="2159"/>
      <c r="W72" s="2159"/>
      <c r="X72" s="2159"/>
      <c r="Y72" s="2159"/>
      <c r="Z72" s="2159"/>
      <c r="AA72" s="1460"/>
      <c r="AB72" s="1460"/>
      <c r="AC72" s="1460"/>
      <c r="AD72" s="1460"/>
      <c r="AE72" s="1460"/>
      <c r="AF72" s="1460"/>
      <c r="AG72" s="1460"/>
      <c r="AH72" s="1460"/>
      <c r="AI72" s="1460"/>
    </row>
    <row r="73" spans="1:35" s="1269" customFormat="1" ht="14.25" hidden="1">
      <c r="A73" s="539" t="s">
        <v>2244</v>
      </c>
      <c r="B73" s="509" t="s">
        <v>487</v>
      </c>
      <c r="C73" s="543">
        <f ca="1">C74+C78</f>
        <v>1325</v>
      </c>
      <c r="D73" s="536" t="s">
        <v>331</v>
      </c>
      <c r="E73" s="1943"/>
      <c r="F73" s="1944"/>
      <c r="G73" s="1944"/>
      <c r="H73" s="552"/>
      <c r="I73" s="2311"/>
      <c r="J73" s="2159"/>
      <c r="K73" s="2159"/>
      <c r="L73" s="2159"/>
      <c r="M73" s="2159"/>
      <c r="N73" s="2159"/>
      <c r="O73" s="2159"/>
      <c r="P73" s="2159"/>
      <c r="Q73" s="2159"/>
      <c r="R73" s="2159"/>
      <c r="S73" s="2159"/>
      <c r="T73" s="2159"/>
      <c r="U73" s="2159"/>
      <c r="V73" s="2159"/>
      <c r="W73" s="2159"/>
      <c r="X73" s="2159"/>
      <c r="Y73" s="2159"/>
      <c r="Z73" s="2159"/>
      <c r="AA73" s="1460"/>
      <c r="AB73" s="1460"/>
      <c r="AC73" s="1460"/>
      <c r="AD73" s="1460"/>
      <c r="AE73" s="1460"/>
      <c r="AF73" s="1460"/>
      <c r="AG73" s="1460"/>
      <c r="AH73" s="1460"/>
      <c r="AI73" s="1460"/>
    </row>
    <row r="74" spans="1:35" s="1269" customFormat="1" ht="24" hidden="1">
      <c r="A74" s="553" t="s">
        <v>2248</v>
      </c>
      <c r="B74" s="534" t="s">
        <v>488</v>
      </c>
      <c r="C74" s="536">
        <f>C75+C76+C77</f>
        <v>0</v>
      </c>
      <c r="D74" s="536" t="s">
        <v>331</v>
      </c>
      <c r="E74" s="1943"/>
      <c r="F74" s="1944"/>
      <c r="G74" s="1944"/>
      <c r="H74" s="552"/>
      <c r="I74" s="2311"/>
      <c r="J74" s="2159"/>
      <c r="K74" s="2159"/>
      <c r="L74" s="2159"/>
      <c r="M74" s="2159">
        <f>M72/10000</f>
        <v>79891</v>
      </c>
      <c r="N74" s="2159"/>
      <c r="O74" s="2159"/>
      <c r="P74" s="2159"/>
      <c r="Q74" s="2159"/>
      <c r="R74" s="2159"/>
      <c r="S74" s="2159"/>
      <c r="T74" s="2159"/>
      <c r="U74" s="2159"/>
      <c r="V74" s="2159"/>
      <c r="W74" s="2159"/>
      <c r="X74" s="2159"/>
      <c r="Y74" s="2159"/>
      <c r="Z74" s="2159"/>
      <c r="AA74" s="1460"/>
      <c r="AB74" s="1460"/>
      <c r="AC74" s="1460"/>
      <c r="AD74" s="1460"/>
      <c r="AE74" s="1460"/>
      <c r="AF74" s="1460"/>
      <c r="AG74" s="1460"/>
      <c r="AH74" s="1460"/>
      <c r="AI74" s="1460"/>
    </row>
    <row r="75" spans="1:35" s="1269" customFormat="1" ht="13.5">
      <c r="A75" s="553" t="s">
        <v>2249</v>
      </c>
      <c r="B75" s="534" t="s">
        <v>489</v>
      </c>
      <c r="C75" s="554">
        <v>0</v>
      </c>
      <c r="D75" s="536" t="s">
        <v>331</v>
      </c>
      <c r="E75" s="555" t="s">
        <v>490</v>
      </c>
      <c r="F75" s="1431" t="s">
        <v>2792</v>
      </c>
      <c r="G75" s="555" t="s">
        <v>1032</v>
      </c>
      <c r="H75" s="556">
        <v>5</v>
      </c>
      <c r="I75" s="2312"/>
      <c r="J75" s="2159"/>
      <c r="K75" s="2159"/>
      <c r="L75" s="2159"/>
      <c r="M75" s="2159"/>
      <c r="N75" s="2159"/>
      <c r="O75" s="2159"/>
      <c r="P75" s="2159"/>
      <c r="Q75" s="2159"/>
      <c r="R75" s="2159"/>
      <c r="S75" s="2159"/>
      <c r="T75" s="2159"/>
      <c r="U75" s="2159"/>
      <c r="V75" s="2159"/>
      <c r="W75" s="2159"/>
      <c r="X75" s="2159"/>
      <c r="Y75" s="2159"/>
      <c r="Z75" s="2159"/>
      <c r="AA75" s="1460"/>
      <c r="AB75" s="1460"/>
      <c r="AC75" s="1460"/>
      <c r="AD75" s="1460"/>
      <c r="AE75" s="1460"/>
      <c r="AF75" s="1460"/>
      <c r="AG75" s="1460"/>
      <c r="AH75" s="1460"/>
      <c r="AI75" s="1460"/>
    </row>
    <row r="76" spans="1:35" s="1269" customFormat="1" ht="24.75" hidden="1" customHeight="1">
      <c r="A76" s="553" t="s">
        <v>2251</v>
      </c>
      <c r="B76" s="557" t="s">
        <v>491</v>
      </c>
      <c r="C76" s="536">
        <f>IF(F75="购房发票",ROUND(C75*H75*5%,0),0)</f>
        <v>0</v>
      </c>
      <c r="D76" s="558">
        <v>0.05</v>
      </c>
      <c r="E76" s="3532" t="s">
        <v>492</v>
      </c>
      <c r="F76" s="3531"/>
      <c r="G76" s="3531"/>
      <c r="H76" s="3574"/>
      <c r="I76" s="2311"/>
      <c r="J76" s="2159"/>
      <c r="K76" s="2159"/>
      <c r="L76" s="2159"/>
      <c r="M76" s="2159"/>
      <c r="N76" s="2159"/>
      <c r="O76" s="2159"/>
      <c r="P76" s="2159"/>
      <c r="Q76" s="2159"/>
      <c r="R76" s="2159"/>
      <c r="S76" s="2159"/>
      <c r="T76" s="2159"/>
      <c r="U76" s="2159"/>
      <c r="V76" s="2159"/>
      <c r="W76" s="2159"/>
      <c r="X76" s="2159"/>
      <c r="Y76" s="2159"/>
      <c r="Z76" s="2159"/>
      <c r="AA76" s="1460"/>
      <c r="AB76" s="1460"/>
      <c r="AC76" s="1460"/>
      <c r="AD76" s="1460"/>
      <c r="AE76" s="1460"/>
      <c r="AF76" s="1460"/>
      <c r="AG76" s="1460"/>
      <c r="AH76" s="1460"/>
      <c r="AI76" s="1460"/>
    </row>
    <row r="77" spans="1:35" s="1269" customFormat="1" ht="24.75" hidden="1" customHeight="1">
      <c r="A77" s="553" t="s">
        <v>2252</v>
      </c>
      <c r="B77" s="534" t="s">
        <v>493</v>
      </c>
      <c r="C77" s="536">
        <f>ROUND(IF(G77="个人住宅",0,IF(G77="2016年5月1日前购买",C75*D77,C75*D77/(1+'数据-取费表'!B42))),0)</f>
        <v>0</v>
      </c>
      <c r="D77" s="559">
        <f>'数据-取费表'!B48+'数据-取费表'!B49</f>
        <v>4.0500000000000001E-2</v>
      </c>
      <c r="E77" s="309" t="s">
        <v>1033</v>
      </c>
      <c r="F77" s="560"/>
      <c r="G77" s="1432" t="s">
        <v>3535</v>
      </c>
      <c r="H77" s="1945" t="str">
        <f>IF(G77="个人买卖住房","免征印花税"," ")</f>
        <v xml:space="preserve"> </v>
      </c>
      <c r="I77" s="2311"/>
      <c r="J77" s="2159"/>
      <c r="K77" s="2159"/>
      <c r="L77" s="2159"/>
      <c r="M77" s="2159"/>
      <c r="N77" s="2159"/>
      <c r="O77" s="2159"/>
      <c r="P77" s="2159"/>
      <c r="Q77" s="2159"/>
      <c r="R77" s="2159"/>
      <c r="S77" s="2159"/>
      <c r="T77" s="2159"/>
      <c r="U77" s="2159"/>
      <c r="V77" s="2159"/>
      <c r="W77" s="2159"/>
      <c r="X77" s="2159"/>
      <c r="Y77" s="2159"/>
      <c r="Z77" s="2159"/>
      <c r="AA77" s="1460"/>
      <c r="AB77" s="1460"/>
      <c r="AC77" s="1460"/>
      <c r="AD77" s="1460"/>
      <c r="AE77" s="1460"/>
      <c r="AF77" s="1460"/>
      <c r="AG77" s="1460"/>
      <c r="AH77" s="1460"/>
      <c r="AI77" s="1460"/>
    </row>
    <row r="78" spans="1:35" s="1269" customFormat="1" ht="24.75" hidden="1" customHeight="1">
      <c r="A78" s="553" t="s">
        <v>2250</v>
      </c>
      <c r="B78" s="534" t="s">
        <v>494</v>
      </c>
      <c r="C78" s="561">
        <f ca="1">ROUND(D45*D78/(1+'数据-取费表'!B42),0)</f>
        <v>1325</v>
      </c>
      <c r="D78" s="562">
        <f>'数据-取费表'!B43</f>
        <v>6.000000000000001E-3</v>
      </c>
      <c r="E78" s="3527" t="s">
        <v>2904</v>
      </c>
      <c r="F78" s="3528"/>
      <c r="G78" s="3528"/>
      <c r="H78" s="3529"/>
      <c r="I78" s="2313"/>
      <c r="J78" s="2159"/>
      <c r="K78" s="2159"/>
      <c r="L78" s="2159"/>
      <c r="M78" s="2159"/>
      <c r="N78" s="2159"/>
      <c r="O78" s="2159"/>
      <c r="P78" s="2159"/>
      <c r="Q78" s="2159"/>
      <c r="R78" s="2159"/>
      <c r="S78" s="2159"/>
      <c r="T78" s="2159"/>
      <c r="U78" s="2159"/>
      <c r="V78" s="2159"/>
      <c r="W78" s="2159"/>
      <c r="X78" s="2159"/>
      <c r="Y78" s="2159"/>
      <c r="Z78" s="2159"/>
      <c r="AA78" s="1460"/>
      <c r="AB78" s="1460"/>
      <c r="AC78" s="1460"/>
      <c r="AD78" s="1460"/>
      <c r="AE78" s="1460"/>
      <c r="AF78" s="1460"/>
      <c r="AG78" s="1460"/>
      <c r="AH78" s="1460"/>
      <c r="AI78" s="1460"/>
    </row>
    <row r="79" spans="1:35" s="1269" customFormat="1" ht="20.25">
      <c r="A79" s="1822" t="s">
        <v>2253</v>
      </c>
      <c r="B79" s="540" t="s">
        <v>495</v>
      </c>
      <c r="C79" s="543">
        <f ca="1">C72-C73</f>
        <v>219567</v>
      </c>
      <c r="D79" s="536" t="s">
        <v>331</v>
      </c>
      <c r="E79" s="1943"/>
      <c r="F79" s="1944"/>
      <c r="G79" s="1944"/>
      <c r="H79" s="552"/>
      <c r="I79" s="2311"/>
      <c r="J79" s="2159"/>
      <c r="K79" s="3534" t="s">
        <v>3555</v>
      </c>
      <c r="L79" s="3534"/>
      <c r="M79" s="3534"/>
      <c r="N79" s="3534"/>
      <c r="O79" s="2159"/>
      <c r="P79" s="2159"/>
      <c r="Q79" s="2159"/>
      <c r="R79" s="2159"/>
      <c r="S79" s="2159"/>
      <c r="T79" s="2159"/>
      <c r="U79" s="2159"/>
      <c r="V79" s="2159"/>
      <c r="W79" s="2159"/>
      <c r="X79" s="2159"/>
      <c r="Y79" s="2159"/>
      <c r="Z79" s="2159"/>
      <c r="AA79" s="1460"/>
      <c r="AB79" s="1460"/>
      <c r="AC79" s="1460"/>
      <c r="AD79" s="1460"/>
      <c r="AE79" s="1460"/>
      <c r="AF79" s="1460"/>
      <c r="AG79" s="1460"/>
      <c r="AH79" s="1460"/>
      <c r="AI79" s="1460"/>
    </row>
    <row r="80" spans="1:35" s="1269" customFormat="1" ht="24">
      <c r="A80" s="1822" t="s">
        <v>2254</v>
      </c>
      <c r="B80" s="540" t="s">
        <v>496</v>
      </c>
      <c r="C80" s="563">
        <f ca="1">IF(C79&lt;=0,0,C79/C73)</f>
        <v>165.71094339622641</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11"/>
      <c r="J80" s="2159"/>
      <c r="K80" s="2159"/>
      <c r="L80" s="2159"/>
      <c r="M80" s="2159"/>
      <c r="N80" s="2159"/>
      <c r="O80" s="2159"/>
      <c r="P80" s="2159"/>
      <c r="Q80" s="2159"/>
      <c r="R80" s="2159"/>
      <c r="S80" s="2159"/>
      <c r="T80" s="2159"/>
      <c r="U80" s="2159"/>
      <c r="V80" s="2159"/>
      <c r="W80" s="2159"/>
      <c r="X80" s="2159"/>
      <c r="Y80" s="2159"/>
      <c r="Z80" s="2159"/>
      <c r="AA80" s="1460"/>
      <c r="AB80" s="1460"/>
      <c r="AC80" s="1460"/>
      <c r="AD80" s="1460"/>
      <c r="AE80" s="1460"/>
      <c r="AF80" s="1460"/>
      <c r="AG80" s="1460"/>
      <c r="AH80" s="1460"/>
      <c r="AI80" s="1460"/>
    </row>
    <row r="81" spans="1:35" s="1269" customFormat="1" ht="24.75" thickBot="1">
      <c r="A81" s="1823" t="s">
        <v>2255</v>
      </c>
      <c r="B81" s="545" t="s">
        <v>497</v>
      </c>
      <c r="C81" s="564">
        <f ca="1">ROUND(IF(C79&lt;=0,0,IF(C80&gt;=200%,C79*60%-C73*35%,IF(C80&gt;=100%,C79*50%-C73*15%,IF(C80&gt;=50%,C79*40%-C73*5%,IF(C80&lt;50%,C79*30%,0))))),0)</f>
        <v>131276</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11"/>
      <c r="J81" s="3394" t="s">
        <v>3537</v>
      </c>
      <c r="K81" s="3395" t="s">
        <v>3538</v>
      </c>
      <c r="L81" s="3396" t="s">
        <v>3539</v>
      </c>
      <c r="M81" s="3397" t="s">
        <v>3540</v>
      </c>
      <c r="N81" s="2159"/>
      <c r="O81" s="2159"/>
      <c r="P81" s="2159"/>
      <c r="Q81" s="2159"/>
      <c r="R81" s="2159"/>
      <c r="S81" s="2159"/>
      <c r="T81" s="2159"/>
      <c r="U81" s="2159"/>
      <c r="V81" s="2159"/>
      <c r="W81" s="2159"/>
      <c r="X81" s="2159"/>
      <c r="Y81" s="2159"/>
      <c r="Z81" s="2159"/>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3"/>
      <c r="J82" s="3394">
        <v>1</v>
      </c>
      <c r="K82" s="3395" t="s">
        <v>3541</v>
      </c>
      <c r="L82" s="3398">
        <v>318728781.88</v>
      </c>
      <c r="M82" s="3399" t="s">
        <v>3542</v>
      </c>
      <c r="N82" s="2159"/>
      <c r="O82" s="2159"/>
      <c r="P82" s="2159"/>
      <c r="Q82" s="2159"/>
      <c r="R82" s="2159"/>
      <c r="S82" s="2159"/>
      <c r="T82" s="2159"/>
      <c r="U82" s="2159"/>
      <c r="V82" s="2159"/>
      <c r="W82" s="2159"/>
      <c r="X82" s="2159"/>
      <c r="Y82" s="2159"/>
      <c r="Z82" s="2159"/>
      <c r="AA82" s="1460"/>
      <c r="AB82" s="1460"/>
      <c r="AC82" s="1460"/>
      <c r="AD82" s="1460"/>
      <c r="AE82" s="1460"/>
      <c r="AF82" s="1460"/>
      <c r="AG82" s="1460"/>
      <c r="AH82" s="1460"/>
      <c r="AI82" s="1460"/>
    </row>
    <row r="83" spans="1:35" s="1269" customFormat="1" ht="14.25" thickBot="1">
      <c r="A83" s="3575" t="s">
        <v>498</v>
      </c>
      <c r="B83" s="3576"/>
      <c r="C83" s="3576"/>
      <c r="D83" s="3576"/>
      <c r="E83" s="3576"/>
      <c r="F83" s="3576"/>
      <c r="G83" s="3576"/>
      <c r="H83" s="3576"/>
      <c r="I83" s="2312"/>
      <c r="J83" s="3394">
        <v>2</v>
      </c>
      <c r="K83" s="3395" t="s">
        <v>3543</v>
      </c>
      <c r="L83" s="3400">
        <v>62879323.069999993</v>
      </c>
      <c r="M83" s="3399" t="s">
        <v>3542</v>
      </c>
      <c r="N83" s="2159"/>
      <c r="O83" s="2159"/>
      <c r="P83" s="2159"/>
      <c r="Q83" s="2159"/>
      <c r="R83" s="2159"/>
      <c r="S83" s="2159"/>
      <c r="T83" s="2159"/>
      <c r="U83" s="2159"/>
      <c r="V83" s="2159"/>
      <c r="W83" s="2159"/>
      <c r="X83" s="2159"/>
      <c r="Y83" s="2159"/>
      <c r="Z83" s="2159"/>
      <c r="AA83" s="1460"/>
      <c r="AB83" s="1460"/>
      <c r="AC83" s="1460"/>
      <c r="AD83" s="1460"/>
      <c r="AE83" s="1460"/>
      <c r="AF83" s="1460"/>
      <c r="AG83" s="1460"/>
      <c r="AH83" s="1460"/>
      <c r="AI83" s="1460"/>
    </row>
    <row r="84" spans="1:35" s="1269" customFormat="1" ht="13.5">
      <c r="A84" s="3569" t="s">
        <v>476</v>
      </c>
      <c r="B84" s="3570"/>
      <c r="C84" s="1940"/>
      <c r="D84" s="1940" t="s">
        <v>484</v>
      </c>
      <c r="E84" s="549" t="s">
        <v>485</v>
      </c>
      <c r="F84" s="550"/>
      <c r="G84" s="550"/>
      <c r="H84" s="569"/>
      <c r="I84" s="2312"/>
      <c r="J84" s="3394">
        <v>3</v>
      </c>
      <c r="K84" s="3401" t="s">
        <v>3544</v>
      </c>
      <c r="L84" s="3400">
        <v>1168730000</v>
      </c>
      <c r="M84" s="3399" t="s">
        <v>3545</v>
      </c>
      <c r="N84" s="2159"/>
      <c r="O84" s="2159"/>
      <c r="P84" s="2159"/>
      <c r="Q84" s="2159"/>
      <c r="R84" s="2159"/>
      <c r="S84" s="2159"/>
      <c r="T84" s="2159"/>
      <c r="U84" s="2159"/>
      <c r="V84" s="2159"/>
      <c r="W84" s="2159"/>
      <c r="X84" s="2159"/>
      <c r="Y84" s="2159"/>
      <c r="Z84" s="2159"/>
      <c r="AA84" s="1460"/>
      <c r="AB84" s="1460"/>
      <c r="AC84" s="1460"/>
      <c r="AD84" s="1460"/>
      <c r="AE84" s="1460"/>
      <c r="AF84" s="1460"/>
      <c r="AG84" s="1460"/>
      <c r="AH84" s="1460"/>
      <c r="AI84" s="1460"/>
    </row>
    <row r="85" spans="1:35" s="1269" customFormat="1" ht="13.5">
      <c r="A85" s="539" t="s">
        <v>2247</v>
      </c>
      <c r="B85" s="540" t="s">
        <v>486</v>
      </c>
      <c r="C85" s="543">
        <f ca="1">ROUND(D45/(1+'数据-取费表'!B42),0)</f>
        <v>220892</v>
      </c>
      <c r="D85" s="536" t="s">
        <v>331</v>
      </c>
      <c r="E85" s="1943"/>
      <c r="F85" s="1944"/>
      <c r="G85" s="1944"/>
      <c r="H85" s="570"/>
      <c r="I85" s="2312"/>
      <c r="J85" s="3394">
        <v>4</v>
      </c>
      <c r="K85" s="3402" t="s">
        <v>3546</v>
      </c>
      <c r="L85" s="3400">
        <f>[3]支付土地出让金合计!$E$20</f>
        <v>50299955.039999999</v>
      </c>
      <c r="M85" s="3399" t="s">
        <v>3545</v>
      </c>
      <c r="N85" s="2159"/>
      <c r="O85" s="2159"/>
      <c r="P85" s="2159"/>
      <c r="Q85" s="2159"/>
      <c r="R85" s="2159"/>
      <c r="S85" s="2159"/>
      <c r="T85" s="2159"/>
      <c r="U85" s="2159"/>
      <c r="V85" s="2159"/>
      <c r="W85" s="2159"/>
      <c r="X85" s="2159"/>
      <c r="Y85" s="2159"/>
      <c r="Z85" s="2159"/>
      <c r="AA85" s="1460"/>
      <c r="AB85" s="1460"/>
      <c r="AC85" s="1460"/>
      <c r="AD85" s="1460"/>
      <c r="AE85" s="1460"/>
      <c r="AF85" s="1460"/>
      <c r="AG85" s="1460"/>
      <c r="AH85" s="1460"/>
      <c r="AI85" s="1460"/>
    </row>
    <row r="86" spans="1:35" s="1269" customFormat="1" ht="13.5">
      <c r="A86" s="539" t="s">
        <v>2244</v>
      </c>
      <c r="B86" s="509" t="s">
        <v>487</v>
      </c>
      <c r="C86" s="543">
        <f ca="1">IF(H88="仅含出让金",C87+C90+C91+C92+C93+C94,C87+C91+C92+C93+C94)</f>
        <v>1325</v>
      </c>
      <c r="D86" s="571"/>
      <c r="E86" s="1943"/>
      <c r="F86" s="1944"/>
      <c r="G86" s="1944"/>
      <c r="H86" s="570"/>
      <c r="I86" s="2312"/>
      <c r="J86" s="3394">
        <v>5</v>
      </c>
      <c r="K86" s="3401" t="s">
        <v>3547</v>
      </c>
      <c r="L86" s="3400">
        <v>114911443.90000001</v>
      </c>
      <c r="M86" s="3399" t="s">
        <v>3545</v>
      </c>
      <c r="N86" s="2159"/>
      <c r="O86" s="2159"/>
      <c r="P86" s="2159"/>
      <c r="Q86" s="2159"/>
      <c r="R86" s="2159"/>
      <c r="S86" s="2159"/>
      <c r="T86" s="2159"/>
      <c r="U86" s="2159"/>
      <c r="V86" s="2159"/>
      <c r="W86" s="2159"/>
      <c r="X86" s="2159"/>
      <c r="Y86" s="2159"/>
      <c r="Z86" s="2159"/>
      <c r="AA86" s="1460"/>
      <c r="AB86" s="1460"/>
      <c r="AC86" s="1460"/>
      <c r="AD86" s="1460"/>
      <c r="AE86" s="1460"/>
      <c r="AF86" s="1460"/>
      <c r="AG86" s="1460"/>
      <c r="AH86" s="1460"/>
      <c r="AI86" s="1460"/>
    </row>
    <row r="87" spans="1:35" s="1269" customFormat="1" ht="13.5">
      <c r="A87" s="553" t="s">
        <v>2248</v>
      </c>
      <c r="B87" s="534" t="s">
        <v>499</v>
      </c>
      <c r="C87" s="561">
        <f>C88+C89</f>
        <v>0</v>
      </c>
      <c r="D87" s="562"/>
      <c r="E87" s="1938"/>
      <c r="F87" s="1939"/>
      <c r="G87" s="1939"/>
      <c r="H87" s="1941"/>
      <c r="I87" s="2312"/>
      <c r="J87" s="3394">
        <v>6</v>
      </c>
      <c r="K87" s="3403" t="s">
        <v>3548</v>
      </c>
      <c r="L87" s="3400">
        <v>529054447</v>
      </c>
      <c r="M87" s="3399" t="s">
        <v>3545</v>
      </c>
      <c r="N87" s="2159"/>
      <c r="O87" s="2159"/>
      <c r="P87" s="2159"/>
      <c r="Q87" s="2159"/>
      <c r="R87" s="2159"/>
      <c r="S87" s="2159"/>
      <c r="T87" s="2159"/>
      <c r="U87" s="2159"/>
      <c r="V87" s="2159"/>
      <c r="W87" s="2159"/>
      <c r="X87" s="2159"/>
      <c r="Y87" s="2159"/>
      <c r="Z87" s="2159"/>
      <c r="AA87" s="1460"/>
      <c r="AB87" s="1460"/>
      <c r="AC87" s="1460"/>
      <c r="AD87" s="1460"/>
      <c r="AE87" s="1460"/>
      <c r="AF87" s="1460"/>
      <c r="AG87" s="1460"/>
      <c r="AH87" s="1460"/>
      <c r="AI87" s="1460"/>
    </row>
    <row r="88" spans="1:35" s="1269" customFormat="1" ht="13.5">
      <c r="A88" s="553" t="s">
        <v>2249</v>
      </c>
      <c r="B88" s="534" t="s">
        <v>500</v>
      </c>
      <c r="C88" s="572"/>
      <c r="D88" s="562"/>
      <c r="E88" s="573" t="s">
        <v>501</v>
      </c>
      <c r="F88" s="1939"/>
      <c r="G88" s="574" t="s">
        <v>502</v>
      </c>
      <c r="H88" s="1433" t="s">
        <v>3536</v>
      </c>
      <c r="I88" s="2312"/>
      <c r="J88" s="3394">
        <v>7</v>
      </c>
      <c r="K88" s="3401" t="s">
        <v>3549</v>
      </c>
      <c r="L88" s="3404">
        <v>9721400</v>
      </c>
      <c r="M88" s="3399" t="s">
        <v>3545</v>
      </c>
      <c r="N88" s="2159"/>
      <c r="O88" s="2159"/>
      <c r="P88" s="2159"/>
      <c r="Q88" s="2159"/>
      <c r="R88" s="2159"/>
      <c r="S88" s="2159"/>
      <c r="T88" s="2159"/>
      <c r="U88" s="2159"/>
      <c r="V88" s="2159"/>
      <c r="W88" s="2159"/>
      <c r="X88" s="2159"/>
      <c r="Y88" s="2159"/>
      <c r="Z88" s="2159"/>
      <c r="AA88" s="1460"/>
      <c r="AB88" s="1460"/>
      <c r="AC88" s="1460"/>
      <c r="AD88" s="1460"/>
      <c r="AE88" s="1460"/>
      <c r="AF88" s="1460"/>
      <c r="AG88" s="1460"/>
      <c r="AH88" s="1460"/>
      <c r="AI88" s="1460"/>
    </row>
    <row r="89" spans="1:35" s="1269" customFormat="1" ht="13.5">
      <c r="A89" s="553" t="s">
        <v>2251</v>
      </c>
      <c r="B89" s="534" t="s">
        <v>493</v>
      </c>
      <c r="C89" s="561">
        <f>ROUND(C88*D89,0)</f>
        <v>0</v>
      </c>
      <c r="D89" s="562">
        <f>'数据-取费表'!B48+'数据-取费表'!B49</f>
        <v>4.0500000000000001E-2</v>
      </c>
      <c r="E89" s="573" t="s">
        <v>503</v>
      </c>
      <c r="F89" s="1939"/>
      <c r="G89" s="1939"/>
      <c r="H89" s="1941"/>
      <c r="I89" s="2312"/>
      <c r="J89" s="3394">
        <v>8</v>
      </c>
      <c r="K89" s="3401" t="s">
        <v>3550</v>
      </c>
      <c r="L89" s="3400">
        <v>216485821.5</v>
      </c>
      <c r="M89" s="3399" t="s">
        <v>3545</v>
      </c>
      <c r="N89" s="2159"/>
      <c r="O89" s="2159"/>
      <c r="P89" s="2159"/>
      <c r="Q89" s="2159"/>
      <c r="R89" s="2159"/>
      <c r="S89" s="2159"/>
      <c r="T89" s="2159"/>
      <c r="U89" s="2159"/>
      <c r="V89" s="2159"/>
      <c r="W89" s="2159"/>
      <c r="X89" s="2159"/>
      <c r="Y89" s="2159"/>
      <c r="Z89" s="2159"/>
      <c r="AA89" s="1460"/>
      <c r="AB89" s="1460"/>
      <c r="AC89" s="1460"/>
      <c r="AD89" s="1460"/>
      <c r="AE89" s="1460"/>
      <c r="AF89" s="1460"/>
      <c r="AG89" s="1460"/>
      <c r="AH89" s="1460"/>
      <c r="AI89" s="1460"/>
    </row>
    <row r="90" spans="1:35" s="1269" customFormat="1" ht="13.5">
      <c r="A90" s="553" t="s">
        <v>2250</v>
      </c>
      <c r="B90" s="534" t="s">
        <v>504</v>
      </c>
      <c r="C90" s="572"/>
      <c r="D90" s="562"/>
      <c r="E90" s="573" t="str">
        <f>IF(H88="-","土地取得成本中已包含该笔费用"," ")</f>
        <v xml:space="preserve"> </v>
      </c>
      <c r="F90" s="1939"/>
      <c r="G90" s="1939"/>
      <c r="H90" s="1941"/>
      <c r="I90" s="2312"/>
      <c r="J90" s="3394">
        <v>9</v>
      </c>
      <c r="K90" s="3401" t="s">
        <v>3551</v>
      </c>
      <c r="L90" s="3400">
        <v>21447809.25</v>
      </c>
      <c r="M90" s="3399" t="s">
        <v>3545</v>
      </c>
      <c r="N90" s="2159"/>
      <c r="O90" s="2159"/>
      <c r="P90" s="2159"/>
      <c r="Q90" s="2159"/>
      <c r="R90" s="2159"/>
      <c r="S90" s="2159"/>
      <c r="T90" s="2159"/>
      <c r="U90" s="2159"/>
      <c r="V90" s="2159"/>
      <c r="W90" s="2159"/>
      <c r="X90" s="2159"/>
      <c r="Y90" s="2159"/>
      <c r="Z90" s="2159"/>
      <c r="AA90" s="1460"/>
      <c r="AB90" s="1460"/>
      <c r="AC90" s="1460"/>
      <c r="AD90" s="1460"/>
      <c r="AE90" s="1460"/>
      <c r="AF90" s="1460"/>
      <c r="AG90" s="1460"/>
      <c r="AH90" s="1460"/>
      <c r="AI90" s="1460"/>
    </row>
    <row r="91" spans="1:35" s="1269" customFormat="1" ht="27.75" customHeight="1">
      <c r="A91" s="1824" t="s">
        <v>2256</v>
      </c>
      <c r="B91" s="534" t="s">
        <v>505</v>
      </c>
      <c r="C91" s="561">
        <f>IF(H91="——",成本法!C33,I91)</f>
        <v>0</v>
      </c>
      <c r="D91" s="562"/>
      <c r="E91" s="3530" t="s">
        <v>1034</v>
      </c>
      <c r="F91" s="3528"/>
      <c r="G91" s="3528"/>
      <c r="H91" s="1434" t="s">
        <v>2683</v>
      </c>
      <c r="I91" s="3406"/>
      <c r="J91" s="3394">
        <v>10</v>
      </c>
      <c r="K91" s="3401" t="s">
        <v>3552</v>
      </c>
      <c r="L91" s="3400">
        <v>17066522.600000001</v>
      </c>
      <c r="M91" s="3399" t="s">
        <v>3545</v>
      </c>
      <c r="N91" s="2159"/>
      <c r="O91" s="2159"/>
      <c r="P91" s="2159"/>
      <c r="Q91" s="2159"/>
      <c r="R91" s="2159"/>
      <c r="S91" s="2159"/>
      <c r="T91" s="2159"/>
      <c r="U91" s="2159"/>
      <c r="V91" s="2159"/>
      <c r="W91" s="2159"/>
      <c r="X91" s="2159"/>
      <c r="Y91" s="2159"/>
      <c r="Z91" s="2159"/>
      <c r="AA91" s="1460"/>
      <c r="AB91" s="1460"/>
      <c r="AC91" s="1460"/>
      <c r="AD91" s="1460"/>
      <c r="AE91" s="1460"/>
      <c r="AF91" s="1460"/>
      <c r="AG91" s="1460"/>
      <c r="AH91" s="1460"/>
      <c r="AI91" s="1460"/>
    </row>
    <row r="92" spans="1:35" s="1269" customFormat="1" ht="25.5" customHeight="1">
      <c r="A92" s="1824" t="s">
        <v>2257</v>
      </c>
      <c r="B92" s="534" t="s">
        <v>506</v>
      </c>
      <c r="C92" s="561">
        <f>ROUND((C87+C90+C91)*D92,0)</f>
        <v>0</v>
      </c>
      <c r="D92" s="562">
        <v>0.1</v>
      </c>
      <c r="E92" s="3530" t="s">
        <v>507</v>
      </c>
      <c r="F92" s="3528"/>
      <c r="G92" s="3528"/>
      <c r="H92" s="3529"/>
      <c r="I92" s="2312"/>
      <c r="J92" s="3394">
        <v>11</v>
      </c>
      <c r="K92" s="3401" t="s">
        <v>3553</v>
      </c>
      <c r="L92" s="3404">
        <v>58181376.219999999</v>
      </c>
      <c r="M92" s="3399" t="s">
        <v>3545</v>
      </c>
      <c r="N92" s="2159"/>
      <c r="O92" s="2159"/>
      <c r="P92" s="2159"/>
      <c r="Q92" s="2159"/>
      <c r="R92" s="2159"/>
      <c r="S92" s="2159"/>
      <c r="T92" s="2159"/>
      <c r="U92" s="2159"/>
      <c r="V92" s="2159"/>
      <c r="W92" s="2159"/>
      <c r="X92" s="2159"/>
      <c r="Y92" s="2159"/>
      <c r="Z92" s="2159"/>
      <c r="AA92" s="1460"/>
      <c r="AB92" s="1460"/>
      <c r="AC92" s="1460"/>
      <c r="AD92" s="1460"/>
      <c r="AE92" s="1460"/>
      <c r="AF92" s="1460"/>
      <c r="AG92" s="1460"/>
      <c r="AH92" s="1460"/>
      <c r="AI92" s="1460"/>
    </row>
    <row r="93" spans="1:35" s="1269" customFormat="1" ht="25.5" customHeight="1">
      <c r="A93" s="1824" t="s">
        <v>2258</v>
      </c>
      <c r="B93" s="534" t="s">
        <v>494</v>
      </c>
      <c r="C93" s="561">
        <f ca="1">ROUND(D45*D93/(1+'数据-取费表'!B42),0)</f>
        <v>1325</v>
      </c>
      <c r="D93" s="562">
        <f>'数据-取费表'!B43</f>
        <v>6.000000000000001E-3</v>
      </c>
      <c r="E93" s="3527" t="s">
        <v>2904</v>
      </c>
      <c r="F93" s="3528"/>
      <c r="G93" s="3528"/>
      <c r="H93" s="3529"/>
      <c r="I93" s="2312"/>
      <c r="J93" s="3405"/>
      <c r="K93" s="3395" t="s">
        <v>3554</v>
      </c>
      <c r="L93" s="3404">
        <f>SUM(L82:L92)</f>
        <v>2567506880.46</v>
      </c>
      <c r="M93" s="3399"/>
      <c r="N93" s="2159"/>
      <c r="O93" s="2159"/>
      <c r="P93" s="2159"/>
      <c r="Q93" s="2159"/>
      <c r="R93" s="2159"/>
      <c r="S93" s="2159"/>
      <c r="T93" s="2159"/>
      <c r="U93" s="2159"/>
      <c r="V93" s="2159"/>
      <c r="W93" s="2159"/>
      <c r="X93" s="2159"/>
      <c r="Y93" s="2159"/>
      <c r="Z93" s="2159"/>
      <c r="AA93" s="1460"/>
      <c r="AB93" s="1460"/>
      <c r="AC93" s="1460"/>
      <c r="AD93" s="1460"/>
      <c r="AE93" s="1460"/>
      <c r="AF93" s="1460"/>
      <c r="AG93" s="1460"/>
      <c r="AH93" s="1460"/>
      <c r="AI93" s="1460"/>
    </row>
    <row r="94" spans="1:35" s="1269" customFormat="1" ht="25.5" customHeight="1">
      <c r="A94" s="1824" t="s">
        <v>2259</v>
      </c>
      <c r="B94" s="534" t="s">
        <v>508</v>
      </c>
      <c r="C94" s="561">
        <f>ROUND((C87+C90+C91)*D94,0)</f>
        <v>0</v>
      </c>
      <c r="D94" s="562">
        <v>0.2</v>
      </c>
      <c r="E94" s="3530" t="s">
        <v>509</v>
      </c>
      <c r="F94" s="3528"/>
      <c r="G94" s="3528"/>
      <c r="H94" s="3529"/>
      <c r="I94" s="2312"/>
      <c r="J94" s="2159"/>
      <c r="K94" s="2159"/>
      <c r="L94" s="2159"/>
      <c r="M94" s="2159"/>
      <c r="N94" s="2159"/>
      <c r="O94" s="2159"/>
      <c r="P94" s="2159"/>
      <c r="Q94" s="2159"/>
      <c r="R94" s="2159"/>
      <c r="S94" s="2159"/>
      <c r="T94" s="2159"/>
      <c r="U94" s="2159"/>
      <c r="V94" s="2159"/>
      <c r="W94" s="2159"/>
      <c r="X94" s="2159"/>
      <c r="Y94" s="2159"/>
      <c r="Z94" s="2159"/>
      <c r="AA94" s="1460"/>
      <c r="AB94" s="1460"/>
      <c r="AC94" s="1460"/>
      <c r="AD94" s="1460"/>
      <c r="AE94" s="1460"/>
      <c r="AF94" s="1460"/>
      <c r="AG94" s="1460"/>
      <c r="AH94" s="1460"/>
      <c r="AI94" s="1460"/>
    </row>
    <row r="95" spans="1:35" s="1269" customFormat="1" ht="13.5">
      <c r="A95" s="1822" t="s">
        <v>2253</v>
      </c>
      <c r="B95" s="540" t="s">
        <v>495</v>
      </c>
      <c r="C95" s="543">
        <f ca="1">ROUND(C85-C86,0)</f>
        <v>219567</v>
      </c>
      <c r="D95" s="536" t="s">
        <v>331</v>
      </c>
      <c r="E95" s="1943"/>
      <c r="F95" s="1944"/>
      <c r="G95" s="1944"/>
      <c r="H95" s="570"/>
      <c r="I95" s="2312"/>
      <c r="J95" s="2159"/>
      <c r="K95" s="2159"/>
      <c r="L95" s="2159"/>
      <c r="M95" s="2159"/>
      <c r="N95" s="2159"/>
      <c r="O95" s="2159"/>
      <c r="P95" s="2159"/>
      <c r="Q95" s="2159"/>
      <c r="R95" s="2159"/>
      <c r="S95" s="2159"/>
      <c r="T95" s="2159"/>
      <c r="U95" s="2159"/>
      <c r="V95" s="2159"/>
      <c r="W95" s="2159"/>
      <c r="X95" s="2159"/>
      <c r="Y95" s="2159"/>
      <c r="Z95" s="2159"/>
      <c r="AA95" s="1460"/>
      <c r="AB95" s="1460"/>
      <c r="AC95" s="1460"/>
      <c r="AD95" s="1460"/>
      <c r="AE95" s="1460"/>
      <c r="AF95" s="1460"/>
      <c r="AG95" s="1460"/>
      <c r="AH95" s="1460"/>
      <c r="AI95" s="1460"/>
    </row>
    <row r="96" spans="1:35" s="1269" customFormat="1" ht="24">
      <c r="A96" s="1822" t="s">
        <v>2254</v>
      </c>
      <c r="B96" s="540" t="s">
        <v>496</v>
      </c>
      <c r="C96" s="563">
        <f ca="1">IF(C95&lt;=0,0,C95/C86)</f>
        <v>165.71094339622641</v>
      </c>
      <c r="D96" s="536" t="s">
        <v>331</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4"/>
      <c r="G96" s="1944"/>
      <c r="H96" s="570"/>
      <c r="I96" s="2312"/>
      <c r="J96" s="2159"/>
      <c r="K96" s="2159"/>
      <c r="L96" s="2159"/>
      <c r="M96" s="2159"/>
      <c r="N96" s="2159"/>
      <c r="O96" s="2159"/>
      <c r="P96" s="2159"/>
      <c r="Q96" s="2159"/>
      <c r="R96" s="2159"/>
      <c r="S96" s="2159"/>
      <c r="T96" s="2159"/>
      <c r="U96" s="2159"/>
      <c r="V96" s="2159"/>
      <c r="W96" s="2159"/>
      <c r="X96" s="2159"/>
      <c r="Y96" s="2159"/>
      <c r="Z96" s="2159"/>
      <c r="AA96" s="1460"/>
      <c r="AB96" s="1460"/>
      <c r="AC96" s="1460"/>
      <c r="AD96" s="1460"/>
      <c r="AE96" s="1460"/>
      <c r="AF96" s="1460"/>
      <c r="AG96" s="1460"/>
      <c r="AH96" s="1460"/>
      <c r="AI96" s="1460"/>
    </row>
    <row r="97" spans="1:35" s="1269" customFormat="1" ht="24.75" thickBot="1">
      <c r="A97" s="1823" t="s">
        <v>2255</v>
      </c>
      <c r="B97" s="545" t="s">
        <v>497</v>
      </c>
      <c r="C97" s="564">
        <f ca="1">ROUND(IF(C95&lt;=0,0,IF(C96&gt;=200%,C95*60%-C86*35%,IF(C96&gt;=100%,C95*50%-C86*15%,IF(C96&gt;=50%,C95*40%-C86*5%,IF(C96&lt;50%,C95*30%,0))))),0)</f>
        <v>131276</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7"/>
      <c r="G97" s="567"/>
      <c r="H97" s="575"/>
      <c r="I97" s="2312"/>
      <c r="J97" s="2159"/>
      <c r="K97" s="2159"/>
      <c r="L97" s="2159"/>
      <c r="M97" s="2159"/>
      <c r="N97" s="2159"/>
      <c r="O97" s="2159"/>
      <c r="P97" s="2159"/>
      <c r="Q97" s="2159"/>
      <c r="R97" s="2159"/>
      <c r="S97" s="2159"/>
      <c r="T97" s="2159"/>
      <c r="U97" s="2159"/>
      <c r="V97" s="2159"/>
      <c r="W97" s="2159"/>
      <c r="X97" s="2159"/>
      <c r="Y97" s="2159"/>
      <c r="Z97" s="2159"/>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4"/>
    </row>
    <row r="99" spans="1:35" ht="21.75" customHeight="1" thickBot="1">
      <c r="A99" s="1256" t="s">
        <v>393</v>
      </c>
      <c r="B99" s="1247"/>
      <c r="C99" s="1247"/>
      <c r="D99" s="1247"/>
      <c r="E99" s="229"/>
      <c r="F99" s="229"/>
      <c r="G99" s="229"/>
      <c r="H99" s="241"/>
      <c r="I99" s="2304"/>
      <c r="L99" s="1471" t="s">
        <v>3568</v>
      </c>
    </row>
    <row r="100" spans="1:35" ht="18.75" customHeight="1">
      <c r="A100" s="3511" t="s">
        <v>394</v>
      </c>
      <c r="B100" s="3512"/>
      <c r="C100" s="3512"/>
      <c r="D100" s="3525"/>
      <c r="E100" s="3512" t="s">
        <v>3310</v>
      </c>
      <c r="F100" s="3512"/>
      <c r="G100" s="3512"/>
      <c r="H100" s="3525"/>
      <c r="I100" s="2304"/>
      <c r="J100" s="1471" t="s">
        <v>3569</v>
      </c>
      <c r="L100" s="1471">
        <f>L18+B40+B41+B42</f>
        <v>372830.93</v>
      </c>
    </row>
    <row r="101" spans="1:35" ht="18.75" customHeight="1">
      <c r="A101" s="3560" t="s">
        <v>371</v>
      </c>
      <c r="B101" s="3561"/>
      <c r="C101" s="1270" t="str">
        <f>C4</f>
        <v>成本法</v>
      </c>
      <c r="D101" s="1271" t="str">
        <f>D4</f>
        <v>假设开发法</v>
      </c>
      <c r="E101" s="3523" t="s">
        <v>2261</v>
      </c>
      <c r="F101" s="3524"/>
      <c r="G101" s="1272" t="s">
        <v>373</v>
      </c>
      <c r="H101" s="2009">
        <f ca="1">H118</f>
        <v>231937</v>
      </c>
      <c r="I101" s="2304"/>
      <c r="J101" s="1471">
        <f ca="1">H101-H106</f>
        <v>222396</v>
      </c>
    </row>
    <row r="102" spans="1:35" ht="18.75" customHeight="1">
      <c r="A102" s="3562" t="s">
        <v>372</v>
      </c>
      <c r="B102" s="1272" t="s">
        <v>373</v>
      </c>
      <c r="C102" s="1239">
        <f ca="1">C19</f>
        <v>237367</v>
      </c>
      <c r="D102" s="1240">
        <f ca="1">D19</f>
        <v>226506</v>
      </c>
      <c r="E102" s="3523"/>
      <c r="F102" s="3524"/>
      <c r="G102" s="1272" t="s">
        <v>374</v>
      </c>
      <c r="H102" s="715">
        <f ca="1">I118</f>
        <v>15996</v>
      </c>
      <c r="I102" s="2304"/>
      <c r="K102" s="1471" t="s">
        <v>3567</v>
      </c>
      <c r="L102" s="3381">
        <f ca="1">J101/L100*10000</f>
        <v>5965.0630380907514</v>
      </c>
    </row>
    <row r="103" spans="1:35" ht="42.75" customHeight="1">
      <c r="A103" s="3562"/>
      <c r="B103" s="1272" t="s">
        <v>374</v>
      </c>
      <c r="C103" s="1241">
        <f ca="1">C20</f>
        <v>16371</v>
      </c>
      <c r="D103" s="1242">
        <f ca="1">D20</f>
        <v>15622</v>
      </c>
      <c r="E103" s="3517" t="s">
        <v>3556</v>
      </c>
      <c r="F103" s="3518"/>
      <c r="G103" s="1273" t="s">
        <v>376</v>
      </c>
      <c r="H103" s="2009">
        <f>IF(D36="正常操作",H104+H105+H106,H105+H106)</f>
        <v>13304</v>
      </c>
      <c r="I103" s="2304"/>
    </row>
    <row r="104" spans="1:35" ht="18.75" customHeight="1">
      <c r="A104" s="3562" t="s">
        <v>375</v>
      </c>
      <c r="B104" s="1274" t="s">
        <v>373</v>
      </c>
      <c r="C104" s="1243">
        <f ca="1">H118</f>
        <v>231937</v>
      </c>
      <c r="D104" s="1244"/>
      <c r="E104" s="13" t="s">
        <v>2260</v>
      </c>
      <c r="F104" s="6"/>
      <c r="G104" s="1273" t="s">
        <v>376</v>
      </c>
      <c r="H104" s="2010">
        <f>IF(D36="同一抵押权人同一抵押物续贷",C36&amp;"（未扣减，详见特别提示）",C36)</f>
        <v>90000</v>
      </c>
      <c r="I104" s="2304"/>
    </row>
    <row r="105" spans="1:35" ht="18.75" customHeight="1" thickBot="1">
      <c r="A105" s="3572"/>
      <c r="B105" s="1275" t="s">
        <v>374</v>
      </c>
      <c r="C105" s="1245">
        <f ca="1">I118</f>
        <v>15996</v>
      </c>
      <c r="D105" s="1246"/>
      <c r="E105" s="13" t="s">
        <v>2262</v>
      </c>
      <c r="F105" s="6"/>
      <c r="G105" s="1273" t="s">
        <v>376</v>
      </c>
      <c r="H105" s="2010">
        <f>C37</f>
        <v>3763</v>
      </c>
      <c r="I105" s="2304"/>
    </row>
    <row r="106" spans="1:35" ht="18.75" customHeight="1">
      <c r="A106" s="1247" t="s">
        <v>2358</v>
      </c>
      <c r="B106" s="1247"/>
      <c r="C106" s="1247"/>
      <c r="D106" s="1247"/>
      <c r="E106" s="471" t="s">
        <v>2263</v>
      </c>
      <c r="F106" s="6"/>
      <c r="G106" s="1273" t="s">
        <v>376</v>
      </c>
      <c r="H106" s="2010">
        <f>C38</f>
        <v>9541</v>
      </c>
      <c r="I106" s="2304"/>
    </row>
    <row r="107" spans="1:35" ht="18.75" customHeight="1">
      <c r="A107" s="2304"/>
      <c r="B107" s="2304"/>
      <c r="C107" s="2304"/>
      <c r="D107" s="2304"/>
      <c r="E107" s="3564" t="str">
        <f>IF(项目基本情况!E8="已注销","——","3.房地产抵押价值")</f>
        <v>3.房地产抵押价值</v>
      </c>
      <c r="F107" s="3524"/>
      <c r="G107" s="1272" t="s">
        <v>373</v>
      </c>
      <c r="H107" s="2009">
        <f ca="1">IF(E107="——","——",H101-H103)</f>
        <v>218633</v>
      </c>
      <c r="I107" s="2304"/>
    </row>
    <row r="108" spans="1:35" ht="18.75" customHeight="1">
      <c r="A108" s="2304"/>
      <c r="B108" s="2304"/>
      <c r="C108" s="2304"/>
      <c r="D108" s="2304"/>
      <c r="E108" s="3564"/>
      <c r="F108" s="3524"/>
      <c r="G108" s="1272" t="s">
        <v>374</v>
      </c>
      <c r="H108" s="715">
        <f ca="1">ROUND(H107*10000/'数据-汇总表'!E3,0)</f>
        <v>15079</v>
      </c>
      <c r="I108" s="2304"/>
      <c r="K108" s="1471" t="s">
        <v>3567</v>
      </c>
      <c r="L108" s="3381">
        <f ca="1">H107/L100*10000</f>
        <v>5864.1325707606929</v>
      </c>
    </row>
    <row r="109" spans="1:35" ht="18.75" customHeight="1">
      <c r="A109" s="2304"/>
      <c r="B109" s="2304"/>
      <c r="C109" s="2304"/>
      <c r="D109" s="2304"/>
      <c r="E109" s="3564" t="str">
        <f>IF(项目基本情况!E8="已注销及未注销","4.抵押担保权已注销时的房地产抵押价值",IF(项目基本情况!E8="已注销","3.抵押担保权已注销时的房地产抵押价值","——"))</f>
        <v>4.抵押担保权已注销时的房地产抵押价值</v>
      </c>
      <c r="F109" s="3524"/>
      <c r="G109" s="1272" t="s">
        <v>373</v>
      </c>
      <c r="H109" s="689">
        <f ca="1">IF(E109="——","——",H101-H105-H106)</f>
        <v>218633</v>
      </c>
      <c r="I109" s="2304"/>
      <c r="L109" s="3381"/>
    </row>
    <row r="110" spans="1:35" ht="18.75" customHeight="1">
      <c r="A110" s="2304"/>
      <c r="B110" s="2304"/>
      <c r="C110" s="2304"/>
      <c r="D110" s="2304"/>
      <c r="E110" s="3564"/>
      <c r="F110" s="3524"/>
      <c r="G110" s="1272" t="s">
        <v>374</v>
      </c>
      <c r="H110" s="715">
        <f ca="1">IF(H109="——","——",ROUND(H109*10000/'数据-汇总表'!E3,0))</f>
        <v>15079</v>
      </c>
      <c r="I110" s="2304"/>
      <c r="L110" s="3381"/>
    </row>
    <row r="111" spans="1:35" ht="18.75" customHeight="1">
      <c r="A111" s="2304"/>
      <c r="B111" s="2304"/>
      <c r="C111" s="2304"/>
      <c r="D111" s="2304"/>
      <c r="E111" s="3565" t="str">
        <f>IF(项目基本情况!E9="抵押净值",IF(OR(项目基本情况!E8="已注销",项目基本情况!E8="房地产抵押价值"),"4.抵押净值","5.抵押净值"),"——")</f>
        <v>5.抵押净值</v>
      </c>
      <c r="F111" s="3566"/>
      <c r="G111" s="1272" t="s">
        <v>373</v>
      </c>
      <c r="H111" s="2009">
        <f ca="1">IF(E111="——","——",N58)</f>
        <v>87241</v>
      </c>
      <c r="I111" s="2304"/>
      <c r="L111" s="3381"/>
    </row>
    <row r="112" spans="1:35" ht="18.75" customHeight="1" thickBot="1">
      <c r="A112" s="2304"/>
      <c r="B112" s="2304"/>
      <c r="C112" s="2304"/>
      <c r="D112" s="2304"/>
      <c r="E112" s="3567"/>
      <c r="F112" s="3568"/>
      <c r="G112" s="1276" t="s">
        <v>374</v>
      </c>
      <c r="H112" s="1427">
        <f ca="1">IF(E111="——","——",N60)</f>
        <v>6017</v>
      </c>
      <c r="I112" s="2304"/>
      <c r="K112" s="1471" t="s">
        <v>3567</v>
      </c>
      <c r="L112" s="3381">
        <f ca="1">H111/L100*10000</f>
        <v>2339.9614404309214</v>
      </c>
    </row>
    <row r="113" spans="1:11" ht="18.75" customHeight="1">
      <c r="A113" s="2304"/>
      <c r="B113" s="2304"/>
      <c r="C113" s="2304"/>
      <c r="D113" s="2304"/>
      <c r="E113" s="3573" t="s">
        <v>2358</v>
      </c>
      <c r="F113" s="3573"/>
      <c r="G113" s="3573"/>
      <c r="H113" s="3573"/>
      <c r="I113" s="2304"/>
    </row>
    <row r="114" spans="1:11" ht="3.75" customHeight="1">
      <c r="A114" s="1247"/>
      <c r="B114" s="1247"/>
      <c r="C114" s="1247"/>
      <c r="D114" s="1247"/>
      <c r="E114" s="1262"/>
      <c r="F114" s="1262"/>
      <c r="G114" s="1262"/>
      <c r="H114" s="1262"/>
      <c r="I114" s="1247"/>
    </row>
    <row r="115" spans="1:11" ht="18.75" customHeight="1">
      <c r="A115" s="3583" t="s">
        <v>390</v>
      </c>
      <c r="B115" s="3584"/>
      <c r="C115" s="3584"/>
      <c r="D115" s="3584"/>
      <c r="E115" s="3584"/>
      <c r="F115" s="3584"/>
      <c r="G115" s="3584"/>
      <c r="H115" s="3584"/>
      <c r="I115" s="3585"/>
    </row>
    <row r="116" spans="1:11" ht="27" customHeight="1">
      <c r="A116" s="3491" t="s">
        <v>5</v>
      </c>
      <c r="B116" s="3540" t="s">
        <v>1023</v>
      </c>
      <c r="C116" s="3540" t="s">
        <v>1024</v>
      </c>
      <c r="D116" s="3549" t="s">
        <v>369</v>
      </c>
      <c r="E116" s="3550"/>
      <c r="F116" s="3579" t="s">
        <v>2751</v>
      </c>
      <c r="G116" s="3579"/>
      <c r="H116" s="3491" t="s">
        <v>6</v>
      </c>
      <c r="I116" s="3491"/>
    </row>
    <row r="117" spans="1:11" ht="18.75" customHeight="1">
      <c r="A117" s="3491"/>
      <c r="B117" s="3541"/>
      <c r="C117" s="3541"/>
      <c r="D117" s="1937" t="s">
        <v>7</v>
      </c>
      <c r="E117" s="1937" t="s">
        <v>1025</v>
      </c>
      <c r="F117" s="1937" t="s">
        <v>7</v>
      </c>
      <c r="G117" s="1937" t="s">
        <v>8</v>
      </c>
      <c r="H117" s="1937" t="s">
        <v>7</v>
      </c>
      <c r="I117" s="1937" t="s">
        <v>8</v>
      </c>
    </row>
    <row r="118" spans="1:11" ht="49.5" customHeight="1">
      <c r="A118" s="2056" t="str">
        <f>项目基本情况!S2</f>
        <v>河南省郑州市金水区红旗路北、经七路东出让国有建设用地使用权及在建建筑物房地产</v>
      </c>
      <c r="B118" s="1942">
        <f>M18</f>
        <v>144992.93</v>
      </c>
      <c r="C118" s="1942">
        <f>M19</f>
        <v>24814.06</v>
      </c>
      <c r="D118" s="1942">
        <f ca="1">ROUND(IF(D32="总价",C34,E118*B118/10000),0)</f>
        <v>187869</v>
      </c>
      <c r="E118" s="1942">
        <f ca="1">ROUND(IF(C33="自定义",IF(D32="楼面单价",C34,D118*10000/B118),I118-G118),0)</f>
        <v>12957</v>
      </c>
      <c r="F118" s="1942">
        <f ca="1">ROUND(IF(D32="总价",C35,G118*B118/10000),0)</f>
        <v>44068</v>
      </c>
      <c r="G118" s="1942">
        <f ca="1">ROUND(IF(D32="楼面单价",C35,F118*10000/B118),0)</f>
        <v>3039</v>
      </c>
      <c r="H118" s="1942">
        <f ca="1">ROUND(IF(D32="总价",C32,I118*B118/10000),0)</f>
        <v>231937</v>
      </c>
      <c r="I118" s="1942">
        <f ca="1">ROUND(IF(D32="楼面单价",C32,H118*10000/B118),0)</f>
        <v>15996</v>
      </c>
    </row>
    <row r="119" spans="1:11" ht="24" customHeight="1">
      <c r="A119" s="3491" t="s">
        <v>9</v>
      </c>
      <c r="B119" s="3491"/>
      <c r="C119" s="3491"/>
      <c r="D119" s="3542" t="str">
        <f ca="1">NUMBERSTRING(INT(D118*10000),2)&amp;"元整"</f>
        <v>壹拾捌亿柒仟捌佰陆拾玖万元整</v>
      </c>
      <c r="E119" s="3543"/>
      <c r="F119" s="3542" t="str">
        <f ca="1">NUMBERSTRING(INT(F118*10000),2)&amp;"元整"</f>
        <v>肆亿肆仟零陆拾捌万元整</v>
      </c>
      <c r="G119" s="3543"/>
      <c r="H119" s="3542" t="str">
        <f ca="1">NUMBERSTRING(INT(H118*10000),2)&amp;"元整"</f>
        <v>贰拾叁亿壹仟玖佰叁拾柒万元整</v>
      </c>
      <c r="I119" s="3543"/>
    </row>
    <row r="120" spans="1:11" ht="18.75" customHeight="1">
      <c r="A120" s="3544" t="str">
        <f>MID(E103,3,LEN(E103)-2)</f>
        <v>估价师知悉的除抵押担保权以外的法定优先受偿款</v>
      </c>
      <c r="B120" s="3545"/>
      <c r="C120" s="3546"/>
      <c r="D120" s="3537">
        <f>H103</f>
        <v>13304</v>
      </c>
      <c r="E120" s="3538"/>
      <c r="F120" s="3538"/>
      <c r="G120" s="3538"/>
      <c r="H120" s="3538"/>
      <c r="I120" s="3539"/>
      <c r="K120" s="1438" t="str">
        <f>IF(D120=0,"故，本次评估不存在"&amp;A120,"故，本次评估"&amp;A120&amp;"为人民币"&amp;D120&amp;"万元整。")</f>
        <v>故，本次评估估价师知悉的除抵押担保权以外的法定优先受偿款为人民币13304万元整。</v>
      </c>
    </row>
    <row r="121" spans="1:11" ht="18.75" customHeight="1">
      <c r="A121" s="3580" t="s">
        <v>9</v>
      </c>
      <c r="B121" s="3581"/>
      <c r="C121" s="3582"/>
      <c r="D121" s="3542" t="str">
        <f>IF(D120=0,"零元整",NUMBERSTRING(INT(D120*10000),2)&amp;"元整")</f>
        <v>壹亿叁仟叁佰零肆万元整</v>
      </c>
      <c r="E121" s="3547"/>
      <c r="F121" s="3547"/>
      <c r="G121" s="3547"/>
      <c r="H121" s="3547"/>
      <c r="I121" s="3543"/>
    </row>
    <row r="122" spans="1:11" ht="18.75" customHeight="1">
      <c r="A122" s="3551" t="str">
        <f>MID(E107,3,LEN(E107)-2)</f>
        <v>房地产抵押价值</v>
      </c>
      <c r="B122" s="3551"/>
      <c r="C122" s="3551"/>
      <c r="D122" s="3537">
        <f ca="1">H107</f>
        <v>218633</v>
      </c>
      <c r="E122" s="3538"/>
      <c r="F122" s="3538"/>
      <c r="G122" s="3538"/>
      <c r="H122" s="3538"/>
      <c r="I122" s="3539"/>
    </row>
    <row r="123" spans="1:11" ht="18.75" customHeight="1">
      <c r="A123" s="3491" t="s">
        <v>9</v>
      </c>
      <c r="B123" s="3491"/>
      <c r="C123" s="3491"/>
      <c r="D123" s="3542" t="str">
        <f ca="1">NUMBERSTRING(INT(D122*10000),2)&amp;"元整"</f>
        <v>贰拾壹亿捌仟陆佰叁拾叁万元整</v>
      </c>
      <c r="E123" s="3547"/>
      <c r="F123" s="3547"/>
      <c r="G123" s="3547"/>
      <c r="H123" s="3547"/>
      <c r="I123" s="3543"/>
    </row>
    <row r="124" spans="1:11" ht="18.75" customHeight="1">
      <c r="A124" s="3551" t="str">
        <f>MID(E109,3,LEN(E109)-2)</f>
        <v>抵押担保权已注销时的房地产抵押价值</v>
      </c>
      <c r="B124" s="3551"/>
      <c r="C124" s="3551"/>
      <c r="D124" s="3537">
        <f ca="1">H109</f>
        <v>218633</v>
      </c>
      <c r="E124" s="3538"/>
      <c r="F124" s="3538"/>
      <c r="G124" s="3538"/>
      <c r="H124" s="3538"/>
      <c r="I124" s="3539"/>
    </row>
    <row r="125" spans="1:11" ht="18.75" customHeight="1">
      <c r="A125" s="3491" t="s">
        <v>9</v>
      </c>
      <c r="B125" s="3491"/>
      <c r="C125" s="3491"/>
      <c r="D125" s="3542" t="str">
        <f ca="1">NUMBERSTRING(INT(D124*10000),2)&amp;"元整"</f>
        <v>贰拾壹亿捌仟陆佰叁拾叁万元整</v>
      </c>
      <c r="E125" s="3547"/>
      <c r="F125" s="3547"/>
      <c r="G125" s="3547"/>
      <c r="H125" s="3547"/>
      <c r="I125" s="3543"/>
    </row>
    <row r="126" spans="1:11" ht="18.75" customHeight="1">
      <c r="A126" s="3551" t="str">
        <f>MID(E111,3,LEN(E111)-2)</f>
        <v>抵押净值</v>
      </c>
      <c r="B126" s="3551"/>
      <c r="C126" s="3551"/>
      <c r="D126" s="3537">
        <f ca="1">H111</f>
        <v>87241</v>
      </c>
      <c r="E126" s="3538"/>
      <c r="F126" s="3538"/>
      <c r="G126" s="3538"/>
      <c r="H126" s="3538"/>
      <c r="I126" s="3539"/>
    </row>
    <row r="127" spans="1:11" ht="18.75" customHeight="1">
      <c r="A127" s="3491" t="s">
        <v>9</v>
      </c>
      <c r="B127" s="3491"/>
      <c r="C127" s="3491"/>
      <c r="D127" s="3542" t="str">
        <f ca="1">NUMBERSTRING(INT(D126*10000),2)&amp;"元整"</f>
        <v>捌亿柒仟贰佰肆拾壹万元整</v>
      </c>
      <c r="E127" s="3547"/>
      <c r="F127" s="3547"/>
      <c r="G127" s="3547"/>
      <c r="H127" s="3547"/>
      <c r="I127" s="3543"/>
    </row>
    <row r="128" spans="1:11" ht="21.75" customHeight="1">
      <c r="A128" s="3548" t="s">
        <v>2357</v>
      </c>
      <c r="B128" s="3548"/>
      <c r="C128" s="3548"/>
      <c r="D128" s="3548"/>
      <c r="E128" s="3548"/>
      <c r="F128" s="3548"/>
      <c r="G128" s="3548"/>
      <c r="H128" s="3548"/>
      <c r="I128" s="3548"/>
    </row>
    <row r="129" spans="1:35" ht="21.75" customHeight="1">
      <c r="A129" s="2051" t="s">
        <v>1026</v>
      </c>
      <c r="B129" s="2052"/>
      <c r="C129" s="472" t="s">
        <v>239</v>
      </c>
      <c r="D129" s="2053"/>
      <c r="E129" s="2053"/>
      <c r="F129" s="2053"/>
      <c r="G129" s="2053"/>
      <c r="H129" s="2054"/>
      <c r="I129" s="2055"/>
    </row>
    <row r="130" spans="1:35" ht="21.75" customHeight="1">
      <c r="A130" s="1461">
        <v>1</v>
      </c>
      <c r="B130" s="3420" t="s">
        <v>3566</v>
      </c>
      <c r="C130" s="3420"/>
      <c r="D130" s="1464"/>
      <c r="E130" s="1464"/>
      <c r="F130" s="1464"/>
      <c r="G130" s="1464"/>
      <c r="H130" s="1464"/>
      <c r="I130" s="3421"/>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1027</v>
      </c>
      <c r="G135" s="1473"/>
      <c r="H135" s="1473"/>
      <c r="I135" s="1474" t="s">
        <v>1028</v>
      </c>
    </row>
    <row r="136" spans="1:35" ht="21.75" customHeight="1">
      <c r="A136" s="1471"/>
      <c r="B136" s="1475" t="s">
        <v>1029</v>
      </c>
      <c r="C136" s="1471"/>
      <c r="D136" s="1471"/>
      <c r="E136" s="1471"/>
      <c r="F136" s="1471"/>
      <c r="G136" s="1471"/>
      <c r="H136" s="1471"/>
      <c r="I136" s="1471"/>
    </row>
    <row r="137" spans="1:35" ht="21.75" customHeight="1">
      <c r="A137" s="1471"/>
      <c r="B137" s="1471"/>
      <c r="C137" s="1471"/>
      <c r="D137" s="1471"/>
      <c r="E137" s="1471"/>
      <c r="F137" s="1471"/>
      <c r="G137" s="1471"/>
      <c r="H137" s="1471"/>
      <c r="I137" s="1471"/>
    </row>
    <row r="138" spans="1:35" ht="21.75" customHeight="1">
      <c r="A138" s="1471"/>
      <c r="B138" s="1473"/>
      <c r="C138" s="1473"/>
      <c r="D138" s="1473"/>
      <c r="E138" s="1473"/>
      <c r="F138" s="1473"/>
      <c r="G138" s="1473"/>
      <c r="H138" s="1473"/>
      <c r="I138" s="1474" t="s">
        <v>1030</v>
      </c>
    </row>
    <row r="139" spans="1:35" ht="21.75" customHeight="1">
      <c r="A139" s="1471"/>
      <c r="B139" s="1475" t="s">
        <v>1031</v>
      </c>
      <c r="C139" s="1471"/>
      <c r="D139" s="1471"/>
      <c r="E139" s="1471"/>
      <c r="F139" s="1471"/>
      <c r="G139" s="1471"/>
      <c r="H139" s="1471"/>
      <c r="I139" s="1471"/>
    </row>
    <row r="140" spans="1:35" ht="21.75" customHeight="1">
      <c r="A140" s="1471"/>
      <c r="B140" s="1475"/>
      <c r="C140" s="1471"/>
      <c r="D140" s="1471"/>
      <c r="E140" s="1471"/>
      <c r="F140" s="1471"/>
      <c r="G140" s="1471"/>
      <c r="H140" s="1471"/>
      <c r="I140" s="1471"/>
    </row>
    <row r="141" spans="1:35" ht="21.75" customHeight="1">
      <c r="A141" s="1471"/>
      <c r="B141" s="1473"/>
      <c r="C141" s="1473"/>
      <c r="D141" s="1473"/>
      <c r="E141" s="1473"/>
      <c r="F141" s="1473"/>
      <c r="G141" s="1473"/>
      <c r="H141" s="1473"/>
      <c r="I141" s="1474" t="s">
        <v>1030</v>
      </c>
    </row>
    <row r="142" spans="1:35" ht="21.75" customHeight="1">
      <c r="A142" s="1471"/>
      <c r="B142" s="1475"/>
      <c r="C142" s="1476"/>
      <c r="D142" s="1477"/>
      <c r="E142" s="1477"/>
      <c r="F142" s="1478"/>
      <c r="G142" s="1471"/>
      <c r="H142" s="1471"/>
      <c r="I142" s="1471"/>
    </row>
    <row r="143" spans="1:35" s="432" customFormat="1" ht="21.75" customHeight="1">
      <c r="A143" s="1471"/>
      <c r="B143" s="1475"/>
      <c r="C143" s="1476"/>
      <c r="D143" s="1477"/>
      <c r="E143" s="1477"/>
      <c r="F143" s="1478"/>
      <c r="G143" s="1471"/>
      <c r="H143" s="1471"/>
      <c r="I143" s="1471"/>
      <c r="J143" s="1471"/>
      <c r="K143" s="1471"/>
      <c r="L143" s="1471"/>
      <c r="M143" s="1471"/>
      <c r="N143" s="1471"/>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1"/>
      <c r="M144" s="1471"/>
      <c r="N144" s="1471"/>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c r="N145" s="1471"/>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0" fitToHeight="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1" customWidth="1"/>
    <col min="2" max="9" width="10" style="1911" customWidth="1"/>
    <col min="10" max="16384" width="9" style="1911"/>
  </cols>
  <sheetData>
    <row r="36" spans="1:9">
      <c r="A36" s="1910" t="s">
        <v>2314</v>
      </c>
      <c r="B36" s="1910" t="s">
        <v>2315</v>
      </c>
    </row>
    <row r="37" spans="1:9" ht="27.75" customHeight="1">
      <c r="A37" s="1910"/>
      <c r="B37" s="3423" t="str">
        <f>项目基本情况!B1</f>
        <v>河南省郑州市金水区红旗路北、经七路东出让国有建设用地使用权及在建建筑物房地产市场价值预评估</v>
      </c>
      <c r="C37" s="3423"/>
      <c r="D37" s="3423"/>
      <c r="E37" s="3423"/>
      <c r="F37" s="3423"/>
      <c r="G37" s="3423"/>
      <c r="H37" s="3423"/>
      <c r="I37" s="3423"/>
    </row>
    <row r="38" spans="1:9">
      <c r="A38" s="1912"/>
      <c r="B38" s="1912"/>
    </row>
    <row r="39" spans="1:9">
      <c r="A39" s="1910" t="s">
        <v>2314</v>
      </c>
      <c r="B39" s="1910" t="s">
        <v>2316</v>
      </c>
    </row>
    <row r="40" spans="1:9">
      <c r="A40" s="1910"/>
      <c r="B40" s="1910" t="str">
        <f>项目基本情况!B5</f>
        <v>河南恒祥实业有限公司</v>
      </c>
    </row>
    <row r="41" spans="1:9">
      <c r="A41" s="1910"/>
      <c r="B41" s="1910"/>
    </row>
    <row r="42" spans="1:9">
      <c r="A42" s="1910" t="s">
        <v>2314</v>
      </c>
      <c r="B42" s="1910" t="s">
        <v>2317</v>
      </c>
    </row>
    <row r="43" spans="1:9">
      <c r="A43" s="1910"/>
      <c r="B43" s="1910" t="s">
        <v>2318</v>
      </c>
    </row>
    <row r="44" spans="1:9">
      <c r="A44" s="1910"/>
      <c r="B44" s="1910"/>
    </row>
    <row r="45" spans="1:9">
      <c r="A45" s="1910" t="s">
        <v>2314</v>
      </c>
      <c r="B45" s="1910" t="s">
        <v>2319</v>
      </c>
    </row>
    <row r="46" spans="1:9" s="1910" customFormat="1" ht="12.75">
      <c r="B46" s="1910" t="str">
        <f ca="1">项目基本情况!K4</f>
        <v>王鹏（注册号：1120050019)、郑燚（注册号：1120070131)</v>
      </c>
    </row>
    <row r="47" spans="1:9">
      <c r="A47" s="1910"/>
      <c r="B47" s="1910" t="str">
        <f>项目基本情况!K5</f>
        <v/>
      </c>
    </row>
    <row r="48" spans="1:9">
      <c r="A48" s="1910" t="s">
        <v>2314</v>
      </c>
      <c r="B48" s="1910" t="s">
        <v>2320</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E57" sqref="E57"/>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1055</v>
      </c>
      <c r="B1" s="2788"/>
      <c r="C1" s="578"/>
      <c r="D1" s="578"/>
      <c r="E1" s="578"/>
      <c r="F1" s="578"/>
      <c r="G1" s="2789">
        <f>MATCH(B1,'数据-取费表'!A6:A16,0)+5</f>
        <v>11</v>
      </c>
    </row>
    <row r="2" spans="1:9" s="580" customFormat="1" ht="18" customHeight="1">
      <c r="A2" s="581" t="s">
        <v>635</v>
      </c>
      <c r="B2" s="582">
        <f ca="1">IF(D2="——",C52,C52-E2)</f>
        <v>237367</v>
      </c>
      <c r="C2" s="85" t="s">
        <v>1105</v>
      </c>
      <c r="D2" s="2909" t="s">
        <v>755</v>
      </c>
      <c r="E2" s="2907" t="e">
        <f ca="1">SUMIF(INDIRECT("'"&amp;G2&amp;"'"&amp;"!A:A"),"承租人权益价值",INDIRECT("'"&amp;G2&amp;"'"&amp;"!c:c"))</f>
        <v>#REF!</v>
      </c>
      <c r="F2" s="2905" t="s">
        <v>1105</v>
      </c>
      <c r="G2" s="2908" t="s">
        <v>2831</v>
      </c>
    </row>
    <row r="3" spans="1:9" s="580" customFormat="1" ht="18" customHeight="1" thickBot="1">
      <c r="A3" s="583" t="s">
        <v>636</v>
      </c>
      <c r="B3" s="584">
        <f ca="1">ROUND(B2*10000/(IF(B1="",'数据-汇总表'!E3,INDIRECT("'数据-取费表'!k"&amp;$G$1))),0)</f>
        <v>16371</v>
      </c>
      <c r="C3" s="85" t="s">
        <v>1106</v>
      </c>
      <c r="D3" s="579"/>
      <c r="E3" s="579"/>
      <c r="F3" s="579"/>
      <c r="G3" s="579"/>
    </row>
    <row r="4" spans="1:9" s="588" customFormat="1" ht="15.75">
      <c r="A4" s="585" t="s">
        <v>1058</v>
      </c>
      <c r="B4" s="586"/>
      <c r="C4" s="586"/>
      <c r="D4" s="586"/>
      <c r="E4" s="586"/>
      <c r="F4" s="586"/>
      <c r="G4" s="587"/>
    </row>
    <row r="5" spans="1:9" s="594" customFormat="1" ht="13.5" customHeight="1">
      <c r="A5" s="635" t="s">
        <v>2907</v>
      </c>
      <c r="B5" s="590" t="s">
        <v>1059</v>
      </c>
      <c r="C5" s="591">
        <f>C6+C7+C8</f>
        <v>140175</v>
      </c>
      <c r="D5" s="591" t="s">
        <v>1060</v>
      </c>
      <c r="E5" s="592" t="s">
        <v>1061</v>
      </c>
      <c r="F5" s="592" t="s">
        <v>1062</v>
      </c>
      <c r="G5" s="593"/>
    </row>
    <row r="6" spans="1:9" s="594" customFormat="1" ht="13.5" customHeight="1">
      <c r="A6" s="1826" t="s">
        <v>2273</v>
      </c>
      <c r="B6" s="595" t="s">
        <v>1063</v>
      </c>
      <c r="C6" s="596">
        <f>'土地比较法-住宅、综合'!B2</f>
        <v>132350</v>
      </c>
      <c r="D6" s="597"/>
      <c r="E6" s="598"/>
      <c r="F6" s="598"/>
      <c r="G6" s="599"/>
    </row>
    <row r="7" spans="1:9" s="594" customFormat="1" ht="13.5" customHeight="1">
      <c r="A7" s="1826" t="s">
        <v>2274</v>
      </c>
      <c r="B7" s="595" t="s">
        <v>512</v>
      </c>
      <c r="C7" s="600">
        <f>ROUND(C6*F7,0)</f>
        <v>5360</v>
      </c>
      <c r="D7" s="600"/>
      <c r="E7" s="598"/>
      <c r="F7" s="601">
        <f>'数据-取费表'!B48+'数据-取费表'!B49</f>
        <v>4.0500000000000001E-2</v>
      </c>
      <c r="G7" s="599"/>
    </row>
    <row r="8" spans="1:9" s="603" customFormat="1">
      <c r="A8" s="1826" t="s">
        <v>2275</v>
      </c>
      <c r="B8" s="595" t="s">
        <v>1064</v>
      </c>
      <c r="C8" s="600">
        <f>IF(G8="已包含在土地购买价格中","0",IF(B1="",'数据-取费表'!B29,IF(G9="全部缴纳",C9+C10,H9)))</f>
        <v>2465</v>
      </c>
      <c r="D8" s="602"/>
      <c r="E8" s="600"/>
      <c r="F8" s="601"/>
      <c r="G8" s="84" t="s">
        <v>3385</v>
      </c>
    </row>
    <row r="9" spans="1:9" s="594" customFormat="1" ht="13.5" customHeight="1">
      <c r="A9" s="1827" t="s">
        <v>2282</v>
      </c>
      <c r="B9" s="604" t="s">
        <v>1065</v>
      </c>
      <c r="C9" s="605">
        <f ca="1">ROUND(D9*E9/10000,0)</f>
        <v>1115</v>
      </c>
      <c r="D9" s="1931">
        <f ca="1">IF(B1="",'数据-汇总表'!E5,IF(INDIRECT("'数据-取费表'!c"&amp;$G$1)="住宅",INDIRECT("'数据-取费表'!k"&amp;$G$1),0))</f>
        <v>65608.850000000006</v>
      </c>
      <c r="E9" s="605">
        <f>'数据-取费表'!B27</f>
        <v>170</v>
      </c>
      <c r="F9" s="601"/>
      <c r="G9" s="2839" t="s">
        <v>3577</v>
      </c>
      <c r="H9" s="2840">
        <f>'数据-取费表'!B29</f>
        <v>2465</v>
      </c>
      <c r="I9" s="2841" t="s">
        <v>3090</v>
      </c>
    </row>
    <row r="10" spans="1:9" s="594" customFormat="1" ht="13.5" customHeight="1">
      <c r="A10" s="1827" t="s">
        <v>2283</v>
      </c>
      <c r="B10" s="604" t="s">
        <v>1066</v>
      </c>
      <c r="C10" s="605">
        <f ca="1">ROUND(D10*E10/10000,0)</f>
        <v>1350</v>
      </c>
      <c r="D10" s="1931">
        <f ca="1">IF(B1="",'数据-汇总表'!E6,IF(INDIRECT("'数据-取费表'!c"&amp;$G$1)="住宅",INDIRECT("'数据-取费表'!s"&amp;$G$1),INDIRECT("'数据-取费表'!k"&amp;$G$1)+INDIRECT("'数据-取费表'!s"&amp;$G$1)))</f>
        <v>79384.079999999987</v>
      </c>
      <c r="E10" s="605">
        <f>'数据-取费表'!B28</f>
        <v>170</v>
      </c>
      <c r="F10" s="601"/>
      <c r="G10" s="606"/>
    </row>
    <row r="11" spans="1:9" s="594" customFormat="1" ht="13.5" hidden="1" customHeight="1">
      <c r="A11" s="607" t="s">
        <v>45</v>
      </c>
      <c r="B11" s="595" t="s">
        <v>1067</v>
      </c>
      <c r="C11" s="591"/>
      <c r="D11" s="1933"/>
      <c r="E11" s="598"/>
      <c r="F11" s="598"/>
      <c r="G11" s="599"/>
    </row>
    <row r="12" spans="1:9" s="594" customFormat="1" ht="13.5" hidden="1" customHeight="1">
      <c r="A12" s="607" t="s">
        <v>46</v>
      </c>
      <c r="B12" s="595" t="s">
        <v>1068</v>
      </c>
      <c r="C12" s="591">
        <v>0</v>
      </c>
      <c r="D12" s="1933"/>
      <c r="E12" s="608"/>
      <c r="F12" s="601">
        <v>3.0499999999999999E-2</v>
      </c>
      <c r="G12" s="599"/>
    </row>
    <row r="13" spans="1:9" s="594" customFormat="1" ht="13.5" hidden="1" customHeight="1">
      <c r="A13" s="607" t="s">
        <v>47</v>
      </c>
      <c r="B13" s="595" t="s">
        <v>1069</v>
      </c>
      <c r="C13" s="591"/>
      <c r="D13" s="1933"/>
      <c r="E13" s="598"/>
      <c r="F13" s="598"/>
      <c r="G13" s="599"/>
    </row>
    <row r="14" spans="1:9" s="594" customFormat="1" ht="13.5" hidden="1" customHeight="1">
      <c r="A14" s="607" t="s">
        <v>48</v>
      </c>
      <c r="B14" s="595" t="s">
        <v>1064</v>
      </c>
      <c r="C14" s="591"/>
      <c r="D14" s="1933"/>
      <c r="E14" s="598"/>
      <c r="F14" s="598"/>
      <c r="G14" s="599" t="s">
        <v>1070</v>
      </c>
    </row>
    <row r="15" spans="1:9" s="594" customFormat="1" ht="13.5" hidden="1" customHeight="1">
      <c r="A15" s="607" t="s">
        <v>49</v>
      </c>
      <c r="B15" s="595" t="s">
        <v>1071</v>
      </c>
      <c r="C15" s="600"/>
      <c r="D15" s="1933"/>
      <c r="E15" s="598"/>
      <c r="F15" s="598"/>
      <c r="G15" s="599" t="s">
        <v>1072</v>
      </c>
    </row>
    <row r="16" spans="1:9"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2908</v>
      </c>
      <c r="B19" s="590" t="s">
        <v>1083</v>
      </c>
      <c r="C19" s="591" t="str">
        <f>IF(G19="已包含在土地取得成本中","0",ROUND(D19*E19/10000,0))</f>
        <v>0</v>
      </c>
      <c r="D19" s="1935">
        <f ca="1">D9+D10</f>
        <v>144992.93</v>
      </c>
      <c r="E19" s="591">
        <f>'数据-取费表'!B31</f>
        <v>200</v>
      </c>
      <c r="F19" s="611"/>
      <c r="G19" s="84" t="s">
        <v>3365</v>
      </c>
    </row>
    <row r="20" spans="1:7" s="594" customFormat="1" ht="13.5" customHeight="1">
      <c r="A20" s="1825" t="s">
        <v>2910</v>
      </c>
      <c r="B20" s="590" t="s">
        <v>1076</v>
      </c>
      <c r="C20" s="612">
        <f>ROUND((C5+C19)*F20,0)</f>
        <v>2103</v>
      </c>
      <c r="D20" s="612"/>
      <c r="E20" s="612"/>
      <c r="F20" s="613">
        <f>'数据-取费表'!B37</f>
        <v>1.4999999999999999E-2</v>
      </c>
      <c r="G20" s="2655" t="s">
        <v>2921</v>
      </c>
    </row>
    <row r="21" spans="1:7" s="594" customFormat="1" ht="13.5" customHeight="1">
      <c r="A21" s="1825" t="s">
        <v>2912</v>
      </c>
      <c r="B21" s="590" t="s">
        <v>1077</v>
      </c>
      <c r="C21" s="615">
        <f>F21</f>
        <v>0.02</v>
      </c>
      <c r="D21" s="616" t="s">
        <v>1098</v>
      </c>
      <c r="E21" s="612"/>
      <c r="F21" s="613">
        <f>'数据-取费表'!B38</f>
        <v>0.02</v>
      </c>
      <c r="G21" s="614" t="s">
        <v>1078</v>
      </c>
    </row>
    <row r="22" spans="1:7" s="594" customFormat="1" ht="13.5" customHeight="1">
      <c r="A22" s="1825" t="s">
        <v>2268</v>
      </c>
      <c r="B22" s="590" t="s">
        <v>1079</v>
      </c>
      <c r="C22" s="2735">
        <f ca="1">ROUND(SUM(C23:C25),0)</f>
        <v>15177</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2273</v>
      </c>
      <c r="B23" s="595" t="s">
        <v>2914</v>
      </c>
      <c r="C23" s="2736">
        <f ca="1">ROUND(IF('数据-取费表'!B22&lt;=1,C5*F22*'数据-取费表'!B23,C5*(POWER((1+F22),'数据-取费表'!B23)-1)),0)</f>
        <v>15067</v>
      </c>
      <c r="D23" s="618"/>
      <c r="E23" s="618"/>
      <c r="F23" s="619"/>
      <c r="G23" s="620" t="s">
        <v>1080</v>
      </c>
    </row>
    <row r="24" spans="1:7" s="594" customFormat="1" ht="13.5" customHeight="1">
      <c r="A24" s="1828" t="s">
        <v>2274</v>
      </c>
      <c r="B24" s="595" t="s">
        <v>2909</v>
      </c>
      <c r="C24" s="2736">
        <f ca="1">ROUND(IF('数据-取费表'!B22&lt;=1,C19*F22*('数据-取费表'!B19/2+'数据-取费表'!B21),C19*(POWER((1+F22),('数据-取费表'!B19/2+'数据-取费表'!B21))-1)),0)</f>
        <v>0</v>
      </c>
      <c r="D24" s="618"/>
      <c r="E24" s="618"/>
      <c r="F24" s="619"/>
      <c r="G24" s="620" t="s">
        <v>1081</v>
      </c>
    </row>
    <row r="25" spans="1:7" s="594" customFormat="1" ht="24">
      <c r="A25" s="1828" t="s">
        <v>2275</v>
      </c>
      <c r="B25" s="595" t="s">
        <v>2911</v>
      </c>
      <c r="C25" s="2736">
        <f ca="1">ROUND(IF('数据-取费表'!B22&lt;=1,C20*F22*'数据-取费表'!B23/2,C20*(POWER((1+F22),'数据-取费表'!B23/2)-1)),0)</f>
        <v>110</v>
      </c>
      <c r="D25" s="618"/>
      <c r="E25" s="621"/>
      <c r="F25" s="619"/>
      <c r="G25" s="622" t="s">
        <v>1082</v>
      </c>
    </row>
    <row r="26" spans="1:7" s="594" customFormat="1">
      <c r="A26" s="1828" t="s">
        <v>2277</v>
      </c>
      <c r="B26" s="595" t="s">
        <v>2913</v>
      </c>
      <c r="C26" s="618">
        <f ca="1">ROUND(IF('数据-取费表'!B22&lt;=1,F21*F22*'数据-取费表'!B23/2,F21*(POWER((1+F22),'数据-取费表'!B23/2)-1)),4)</f>
        <v>1E-3</v>
      </c>
      <c r="D26" s="618"/>
      <c r="E26" s="621"/>
      <c r="F26" s="619"/>
      <c r="G26" s="623"/>
    </row>
    <row r="27" spans="1:7" s="594" customFormat="1" ht="24.75">
      <c r="A27" s="1825" t="s">
        <v>2269</v>
      </c>
      <c r="B27" s="624" t="s">
        <v>1084</v>
      </c>
      <c r="C27" s="625">
        <f ca="1">C28</f>
        <v>20033</v>
      </c>
      <c r="D27" s="615">
        <f ca="1">C29</f>
        <v>2.8E-3</v>
      </c>
      <c r="E27" s="616" t="s">
        <v>1098</v>
      </c>
      <c r="F27" s="626">
        <f ca="1">IF(B1="",'数据-取费表'!Q16,INDIRECT("'数据-取费表'!q"&amp;$G$1))</f>
        <v>0.16</v>
      </c>
      <c r="G27" s="627" t="s">
        <v>2922</v>
      </c>
    </row>
    <row r="28" spans="1:7" s="594" customFormat="1" ht="13.5" customHeight="1">
      <c r="A28" s="1828" t="s">
        <v>2273</v>
      </c>
      <c r="B28" s="628" t="s">
        <v>2915</v>
      </c>
      <c r="C28" s="629">
        <f ca="1">ROUND((C5+C19+C20)*F27*'数据-取费表'!B21/'数据-取费表'!B20,0)</f>
        <v>20033</v>
      </c>
      <c r="D28" s="615"/>
      <c r="E28" s="616"/>
      <c r="F28" s="626"/>
      <c r="G28" s="627"/>
    </row>
    <row r="29" spans="1:7" s="594" customFormat="1" ht="13.5" customHeight="1">
      <c r="A29" s="1828" t="s">
        <v>2274</v>
      </c>
      <c r="B29" s="628" t="s">
        <v>2916</v>
      </c>
      <c r="C29" s="618">
        <f ca="1">ROUND(C21*F27*'数据-取费表'!B21/'数据-取费表'!B20,4)</f>
        <v>2.8E-3</v>
      </c>
      <c r="D29" s="615"/>
      <c r="E29" s="616"/>
      <c r="F29" s="626"/>
      <c r="G29" s="627"/>
    </row>
    <row r="30" spans="1:7" s="594" customFormat="1" ht="13.5" customHeight="1">
      <c r="A30" s="1825" t="s">
        <v>2270</v>
      </c>
      <c r="B30" s="590" t="s">
        <v>513</v>
      </c>
      <c r="C30" s="615">
        <f>ROUND(F30/(1+'数据-取费表'!B42),4)</f>
        <v>5.33E-2</v>
      </c>
      <c r="D30" s="616" t="s">
        <v>3347</v>
      </c>
      <c r="E30" s="621"/>
      <c r="F30" s="617">
        <f>'数据-取费表'!B41</f>
        <v>5.6000000000000001E-2</v>
      </c>
      <c r="G30" s="2655" t="s">
        <v>3348</v>
      </c>
    </row>
    <row r="31" spans="1:7" ht="16.5" customHeight="1">
      <c r="A31" s="589">
        <v>1</v>
      </c>
      <c r="B31" s="590" t="s">
        <v>1100</v>
      </c>
      <c r="C31" s="591">
        <f ca="1">ROUND((C5+C19+C20+C22+C27)/(1-C21-D22-D27-C30),0)</f>
        <v>192316</v>
      </c>
      <c r="D31" s="610"/>
      <c r="E31" s="591"/>
      <c r="F31" s="630"/>
      <c r="G31" s="614" t="s">
        <v>2923</v>
      </c>
    </row>
    <row r="32" spans="1:7" s="588" customFormat="1" ht="15.75">
      <c r="A32" s="632" t="s">
        <v>1086</v>
      </c>
      <c r="B32" s="633"/>
      <c r="C32" s="633"/>
      <c r="D32" s="633"/>
      <c r="E32" s="633"/>
      <c r="F32" s="633"/>
      <c r="G32" s="634"/>
    </row>
    <row r="33" spans="1:7" s="594" customFormat="1" ht="13.5" customHeight="1">
      <c r="A33" s="635" t="s">
        <v>2264</v>
      </c>
      <c r="B33" s="590" t="s">
        <v>1087</v>
      </c>
      <c r="C33" s="636">
        <f ca="1">SUM(C34:C38)</f>
        <v>33771.5</v>
      </c>
      <c r="D33" s="612"/>
      <c r="E33" s="592"/>
      <c r="F33" s="621"/>
      <c r="G33" s="614"/>
    </row>
    <row r="34" spans="1:7" s="638" customFormat="1" ht="13.5" customHeight="1">
      <c r="A34" s="1828" t="s">
        <v>2273</v>
      </c>
      <c r="B34" s="595" t="s">
        <v>514</v>
      </c>
      <c r="C34" s="600">
        <f ca="1">IF(B1="",IF(F34=100%,'数据-取费表'!M16,'数据-取费表'!O16),IF(F34=100%,INDIRECT("'数据-取费表'!m"&amp;$G$1)+INDIRECT("'数据-取费表'!t"&amp;$G$1),INDIRECT("'数据-取费表'!o"&amp;$G$1)+INDIRECT("'数据-取费表'!aq"&amp;$G$1)))</f>
        <v>29665</v>
      </c>
      <c r="D34" s="597"/>
      <c r="E34" s="600"/>
      <c r="F34" s="637">
        <f ca="1">IF('数据-取费表'!B24=0,1,IF(B1="",'数据-取费表'!N16,INDIRECT("'数据-取费表'!n"&amp;$G$1)))</f>
        <v>0.752</v>
      </c>
      <c r="G34" s="599" t="s">
        <v>1088</v>
      </c>
    </row>
    <row r="35" spans="1:7" ht="13.5" customHeight="1">
      <c r="A35" s="1828" t="s">
        <v>2278</v>
      </c>
      <c r="B35" s="595" t="s">
        <v>515</v>
      </c>
      <c r="C35" s="600">
        <f ca="1">ROUND(C34*F35,0)</f>
        <v>890</v>
      </c>
      <c r="D35" s="600"/>
      <c r="E35" s="600"/>
      <c r="F35" s="639">
        <f>'数据-取费表'!B33</f>
        <v>0.03</v>
      </c>
      <c r="G35" s="599" t="s">
        <v>1089</v>
      </c>
    </row>
    <row r="36" spans="1:7" ht="24">
      <c r="A36" s="1828" t="s">
        <v>2279</v>
      </c>
      <c r="B36" s="595" t="s">
        <v>516</v>
      </c>
      <c r="C36" s="600">
        <f ca="1">IF(B1="",SUMIF('数据-取费表'!C:C,"住宅",IF(F34=100%,'数据-取费表'!M:M,'数据-取费表'!O:O))*F36,IF(INDIRECT("'数据-取费表'!c"&amp;$G$1)="住宅",IF(F34=100%,INDIRECT("'数据-取费表'!m"&amp;$G$1)*F36,INDIRECT("'数据-取费表'!o"&amp;$G$1)*F36),0))</f>
        <v>590.5</v>
      </c>
      <c r="D36" s="600"/>
      <c r="E36" s="600"/>
      <c r="F36" s="639">
        <f>'数据-取费表'!B34</f>
        <v>0.05</v>
      </c>
      <c r="G36" s="640" t="s">
        <v>517</v>
      </c>
    </row>
    <row r="37" spans="1:7" s="638" customFormat="1" ht="13.5" customHeight="1">
      <c r="A37" s="1828" t="s">
        <v>2280</v>
      </c>
      <c r="B37" s="595" t="s">
        <v>1090</v>
      </c>
      <c r="C37" s="629">
        <f ca="1">ROUND(E37*D37*F34/10000,0)</f>
        <v>2181</v>
      </c>
      <c r="D37" s="597">
        <f ca="1">D19</f>
        <v>144992.93</v>
      </c>
      <c r="E37" s="629">
        <f>'数据-取费表'!B35</f>
        <v>200</v>
      </c>
      <c r="F37" s="639"/>
      <c r="G37" s="641" t="s">
        <v>1091</v>
      </c>
    </row>
    <row r="38" spans="1:7" ht="13.5" customHeight="1">
      <c r="A38" s="1828" t="s">
        <v>2281</v>
      </c>
      <c r="B38" s="595" t="s">
        <v>518</v>
      </c>
      <c r="C38" s="600">
        <f ca="1">ROUND(C34*F38,0)</f>
        <v>445</v>
      </c>
      <c r="D38" s="600"/>
      <c r="E38" s="600"/>
      <c r="F38" s="639">
        <f>'数据-取费表'!B36</f>
        <v>1.4999999999999999E-2</v>
      </c>
      <c r="G38" s="599" t="s">
        <v>1089</v>
      </c>
    </row>
    <row r="39" spans="1:7" s="594" customFormat="1" ht="13.5" customHeight="1">
      <c r="A39" s="1825" t="s">
        <v>2265</v>
      </c>
      <c r="B39" s="590" t="s">
        <v>1076</v>
      </c>
      <c r="C39" s="612">
        <f ca="1">ROUND(C33*F20,0)</f>
        <v>507</v>
      </c>
      <c r="D39" s="612"/>
      <c r="E39" s="612"/>
      <c r="F39" s="613"/>
      <c r="G39" s="2655" t="s">
        <v>2924</v>
      </c>
    </row>
    <row r="40" spans="1:7" s="594" customFormat="1" ht="13.5" customHeight="1">
      <c r="A40" s="1825" t="s">
        <v>2266</v>
      </c>
      <c r="B40" s="590" t="s">
        <v>1077</v>
      </c>
      <c r="C40" s="3277">
        <f>F21</f>
        <v>0.02</v>
      </c>
      <c r="D40" s="616" t="s">
        <v>1101</v>
      </c>
      <c r="E40" s="612"/>
      <c r="F40" s="613"/>
      <c r="G40" s="614" t="s">
        <v>1092</v>
      </c>
    </row>
    <row r="41" spans="1:7" s="594" customFormat="1" ht="13.5" customHeight="1">
      <c r="A41" s="1825" t="s">
        <v>2267</v>
      </c>
      <c r="B41" s="590" t="s">
        <v>1079</v>
      </c>
      <c r="C41" s="612">
        <f ca="1">ROUND(SUM(C42:C43),0)</f>
        <v>1796</v>
      </c>
      <c r="D41" s="615">
        <f ca="1">C44</f>
        <v>1E-3</v>
      </c>
      <c r="E41" s="616" t="s">
        <v>1101</v>
      </c>
      <c r="F41" s="617"/>
      <c r="G41" s="2655" t="str">
        <f>IF('数据-取费表'!B22&lt;=1,"单利计息","复利计息")</f>
        <v>复利计息</v>
      </c>
    </row>
    <row r="42" spans="1:7" ht="13.5" customHeight="1">
      <c r="A42" s="1828" t="s">
        <v>2273</v>
      </c>
      <c r="B42" s="595" t="s">
        <v>2914</v>
      </c>
      <c r="C42" s="618">
        <f ca="1">ROUND(IF('数据-取费表'!B22&lt;=1,C33*F22*'数据-取费表'!B21/2,C33*(POWER((1+F22),'数据-取费表'!B21/2)-1)),0)</f>
        <v>1769</v>
      </c>
      <c r="D42" s="618"/>
      <c r="E42" s="618"/>
      <c r="F42" s="619"/>
      <c r="G42" s="3617" t="s">
        <v>1093</v>
      </c>
    </row>
    <row r="43" spans="1:7" ht="13.5" customHeight="1">
      <c r="A43" s="1828" t="s">
        <v>2274</v>
      </c>
      <c r="B43" s="595" t="s">
        <v>2917</v>
      </c>
      <c r="C43" s="618">
        <f ca="1">ROUND(IF('数据-取费表'!B22&lt;=1,C39*F22*'数据-取费表'!B21/2,C39*(POWER((1+F22),'数据-取费表'!B21/2)-1)),0)</f>
        <v>27</v>
      </c>
      <c r="D43" s="618"/>
      <c r="E43" s="618"/>
      <c r="F43" s="619"/>
      <c r="G43" s="3618"/>
    </row>
    <row r="44" spans="1:7" ht="13.5" customHeight="1">
      <c r="A44" s="1828" t="s">
        <v>2275</v>
      </c>
      <c r="B44" s="595" t="s">
        <v>2919</v>
      </c>
      <c r="C44" s="618">
        <f ca="1">ROUND(IF('数据-取费表'!B22&lt;=1,C40*F22*'数据-取费表'!B21/2,C40*(POWER((1+F22),'数据-取费表'!B21/2)-1)),4)</f>
        <v>1E-3</v>
      </c>
      <c r="D44" s="618"/>
      <c r="E44" s="618"/>
      <c r="F44" s="619"/>
      <c r="G44" s="3619"/>
    </row>
    <row r="45" spans="1:7" s="594" customFormat="1" ht="13.5" customHeight="1">
      <c r="A45" s="1825" t="s">
        <v>2268</v>
      </c>
      <c r="B45" s="624" t="s">
        <v>1084</v>
      </c>
      <c r="C45" s="625">
        <f ca="1">C46</f>
        <v>5485</v>
      </c>
      <c r="D45" s="615">
        <f ca="1">C47</f>
        <v>3.2000000000000002E-3</v>
      </c>
      <c r="E45" s="616" t="s">
        <v>1101</v>
      </c>
      <c r="F45" s="626"/>
      <c r="G45" s="627" t="s">
        <v>2925</v>
      </c>
    </row>
    <row r="46" spans="1:7" s="594" customFormat="1" ht="13.5" customHeight="1">
      <c r="A46" s="1828" t="s">
        <v>2273</v>
      </c>
      <c r="B46" s="628" t="s">
        <v>2918</v>
      </c>
      <c r="C46" s="629">
        <f ca="1">ROUND((C33+C39)*F27,0)</f>
        <v>5485</v>
      </c>
      <c r="D46" s="643"/>
      <c r="E46" s="616"/>
      <c r="F46" s="626"/>
      <c r="G46" s="627"/>
    </row>
    <row r="47" spans="1:7" s="594" customFormat="1" ht="13.5" customHeight="1">
      <c r="A47" s="1828" t="s">
        <v>2274</v>
      </c>
      <c r="B47" s="628" t="s">
        <v>2920</v>
      </c>
      <c r="C47" s="618">
        <f ca="1">ROUND(C40*F27,4)</f>
        <v>3.2000000000000002E-3</v>
      </c>
      <c r="D47" s="643"/>
      <c r="E47" s="616"/>
      <c r="F47" s="626"/>
      <c r="G47" s="627"/>
    </row>
    <row r="48" spans="1:7" s="594" customFormat="1" ht="13.5" customHeight="1">
      <c r="A48" s="1825" t="s">
        <v>2269</v>
      </c>
      <c r="B48" s="590" t="s">
        <v>1094</v>
      </c>
      <c r="C48" s="3277">
        <f>ROUND(F30/(1+'数据-取费表'!B42),4)</f>
        <v>5.33E-2</v>
      </c>
      <c r="D48" s="616" t="s">
        <v>3349</v>
      </c>
      <c r="E48" s="612"/>
      <c r="F48" s="617"/>
      <c r="G48" s="2655" t="s">
        <v>3350</v>
      </c>
    </row>
    <row r="49" spans="1:7" ht="16.5" customHeight="1">
      <c r="A49" s="1825" t="s">
        <v>2270</v>
      </c>
      <c r="B49" s="590" t="s">
        <v>1103</v>
      </c>
      <c r="C49" s="612">
        <f ca="1">ROUND((C33+C39+C41+C45)/(1-C40-D41-D45-C48),0)</f>
        <v>45051</v>
      </c>
      <c r="D49" s="612"/>
      <c r="E49" s="612"/>
      <c r="F49" s="644"/>
      <c r="G49" s="614" t="s">
        <v>2926</v>
      </c>
    </row>
    <row r="50" spans="1:7" s="638" customFormat="1" ht="24">
      <c r="A50" s="1825" t="s">
        <v>2271</v>
      </c>
      <c r="B50" s="590" t="s">
        <v>1096</v>
      </c>
      <c r="C50" s="612"/>
      <c r="D50" s="612"/>
      <c r="E50" s="612"/>
      <c r="F50" s="644">
        <f>IF('数据-取费表'!B24=0,'数据-取费表'!N16,1)</f>
        <v>1</v>
      </c>
      <c r="G50" s="627" t="s">
        <v>1097</v>
      </c>
    </row>
    <row r="51" spans="1:7" ht="16.5" customHeight="1">
      <c r="A51" s="1825" t="s">
        <v>2272</v>
      </c>
      <c r="B51" s="590" t="s">
        <v>1104</v>
      </c>
      <c r="C51" s="612">
        <f ca="1">ROUND(C49*F50,0)</f>
        <v>45051</v>
      </c>
      <c r="D51" s="612"/>
      <c r="E51" s="612"/>
      <c r="F51" s="644"/>
      <c r="G51" s="614" t="s">
        <v>519</v>
      </c>
    </row>
    <row r="52" spans="1:7" s="588" customFormat="1" ht="16.5" thickBot="1">
      <c r="A52" s="645" t="s">
        <v>520</v>
      </c>
      <c r="B52" s="646"/>
      <c r="C52" s="647">
        <f ca="1">C31+C51</f>
        <v>237367</v>
      </c>
      <c r="D52" s="646"/>
      <c r="E52" s="646"/>
      <c r="F52" s="646"/>
      <c r="G52" s="648"/>
    </row>
    <row r="55" spans="1:7" ht="15">
      <c r="B55" s="650" t="s">
        <v>521</v>
      </c>
      <c r="C55" s="651"/>
    </row>
    <row r="56" spans="1:7">
      <c r="B56" s="2911" t="s">
        <v>3104</v>
      </c>
      <c r="C56" s="655">
        <f ca="1">1-C57</f>
        <v>0.81</v>
      </c>
    </row>
    <row r="57" spans="1:7">
      <c r="B57" s="2911" t="s">
        <v>3103</v>
      </c>
      <c r="C57" s="654">
        <f ca="1">ROUND(C51/C52,3)</f>
        <v>0.19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G51" sqref="G51"/>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697</v>
      </c>
      <c r="B1" s="742"/>
      <c r="C1" s="743" t="s">
        <v>698</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510</v>
      </c>
      <c r="B2" s="1085">
        <f>F66</f>
        <v>132350</v>
      </c>
      <c r="C2" s="2369"/>
      <c r="D2" s="2369"/>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c r="AD2" s="744"/>
    </row>
    <row r="3" spans="1:30" s="745" customFormat="1" ht="28.5" customHeight="1" thickBot="1">
      <c r="A3" s="583" t="s">
        <v>511</v>
      </c>
      <c r="B3" s="956">
        <f>ROUND(IF(D3="",B2*10000/'数据-汇总表'!E3,B2*10000/D3),0)</f>
        <v>9128</v>
      </c>
      <c r="C3" s="583" t="s">
        <v>3293</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30" ht="15">
      <c r="A4" s="748" t="s">
        <v>555</v>
      </c>
      <c r="B4" s="749"/>
      <c r="C4" s="3636" t="s">
        <v>556</v>
      </c>
      <c r="D4" s="3637"/>
      <c r="E4" s="3638" t="s">
        <v>557</v>
      </c>
      <c r="F4" s="3639"/>
      <c r="G4" s="3636" t="s">
        <v>558</v>
      </c>
      <c r="H4" s="3637"/>
      <c r="I4" s="3636" t="s">
        <v>559</v>
      </c>
      <c r="J4" s="3637"/>
      <c r="K4" s="957" t="s">
        <v>560</v>
      </c>
      <c r="L4" s="2375"/>
      <c r="M4" s="2376"/>
      <c r="N4" s="2376"/>
      <c r="O4" s="2376"/>
      <c r="P4" s="3640" t="s">
        <v>561</v>
      </c>
      <c r="Q4" s="3641"/>
      <c r="R4" s="3625" t="s">
        <v>557</v>
      </c>
      <c r="S4" s="3626"/>
      <c r="T4" s="3625" t="s">
        <v>558</v>
      </c>
      <c r="U4" s="3626"/>
      <c r="V4" s="3648" t="s">
        <v>559</v>
      </c>
      <c r="W4" s="3648"/>
      <c r="X4" s="1322"/>
      <c r="Y4" s="3625" t="s">
        <v>561</v>
      </c>
      <c r="Z4" s="3626"/>
      <c r="AA4" s="3620" t="s">
        <v>557</v>
      </c>
      <c r="AB4" s="3621" t="s">
        <v>558</v>
      </c>
      <c r="AC4" s="3620" t="s">
        <v>559</v>
      </c>
    </row>
    <row r="5" spans="1:30" ht="15">
      <c r="A5" s="751"/>
      <c r="B5" s="752"/>
      <c r="C5" s="3631" t="s">
        <v>1444</v>
      </c>
      <c r="D5" s="3632"/>
      <c r="E5" s="3629" t="s">
        <v>3578</v>
      </c>
      <c r="F5" s="3630"/>
      <c r="G5" s="3631" t="s">
        <v>3581</v>
      </c>
      <c r="H5" s="3632"/>
      <c r="I5" s="3631" t="s">
        <v>3582</v>
      </c>
      <c r="J5" s="3632"/>
      <c r="K5" s="957"/>
      <c r="L5" s="2375"/>
      <c r="M5" s="2376"/>
      <c r="N5" s="2376"/>
      <c r="O5" s="2376"/>
      <c r="P5" s="3642"/>
      <c r="Q5" s="3643"/>
      <c r="R5" s="3627"/>
      <c r="S5" s="3628"/>
      <c r="T5" s="3627"/>
      <c r="U5" s="3628"/>
      <c r="V5" s="3648"/>
      <c r="W5" s="3648"/>
      <c r="X5" s="1322"/>
      <c r="Y5" s="3627"/>
      <c r="Z5" s="3628"/>
      <c r="AA5" s="3621"/>
      <c r="AB5" s="3621"/>
      <c r="AC5" s="3621"/>
    </row>
    <row r="6" spans="1:30" ht="15.75" thickBot="1">
      <c r="A6" s="753"/>
      <c r="B6" s="754"/>
      <c r="C6" s="3633" t="s">
        <v>1447</v>
      </c>
      <c r="D6" s="3634"/>
      <c r="E6" s="3629" t="s">
        <v>3579</v>
      </c>
      <c r="F6" s="3630"/>
      <c r="G6" s="3631" t="s">
        <v>3581</v>
      </c>
      <c r="H6" s="3632"/>
      <c r="I6" s="3631" t="s">
        <v>3582</v>
      </c>
      <c r="J6" s="3632"/>
      <c r="K6" s="957" t="s">
        <v>567</v>
      </c>
      <c r="L6" s="2375"/>
      <c r="M6" s="2376"/>
      <c r="N6" s="2376"/>
      <c r="O6" s="2376"/>
      <c r="P6" s="3644"/>
      <c r="Q6" s="3645"/>
      <c r="R6" s="3627"/>
      <c r="S6" s="3628"/>
      <c r="T6" s="3646"/>
      <c r="U6" s="3647"/>
      <c r="V6" s="3648"/>
      <c r="W6" s="3648"/>
      <c r="X6" s="1322"/>
      <c r="Y6" s="3646"/>
      <c r="Z6" s="3647"/>
      <c r="AA6" s="3622"/>
      <c r="AB6" s="3622"/>
      <c r="AC6" s="3622"/>
    </row>
    <row r="7" spans="1:30" s="412" customFormat="1" ht="15.75" thickBot="1">
      <c r="A7" s="755" t="s">
        <v>568</v>
      </c>
      <c r="B7" s="756"/>
      <c r="C7" s="757">
        <f>'数据-取费表'!B2</f>
        <v>42959</v>
      </c>
      <c r="D7" s="758">
        <v>100</v>
      </c>
      <c r="E7" s="1021">
        <v>42922</v>
      </c>
      <c r="F7" s="760">
        <f>SUMIF(70:70,YEAR(E7)&amp;"-"&amp;INT((MONTH(E7)+2)/3),71:71)</f>
        <v>100</v>
      </c>
      <c r="G7" s="1022">
        <v>42552</v>
      </c>
      <c r="H7" s="758">
        <f>SUMIF(70:70,YEAR(G7)&amp;"-"&amp;INT((MONTH(G7)+2)/3),71:71)</f>
        <v>96</v>
      </c>
      <c r="I7" s="1022">
        <v>42552</v>
      </c>
      <c r="J7" s="758">
        <f>SUMIF(70:70,YEAR(I7)&amp;"-"&amp;INT((MONTH(I7)+2)/3),71:71)</f>
        <v>96</v>
      </c>
      <c r="K7" s="958"/>
      <c r="L7" s="2377"/>
      <c r="M7" s="2378"/>
      <c r="N7" s="2378"/>
      <c r="O7" s="2378"/>
      <c r="P7" s="3623" t="s">
        <v>569</v>
      </c>
      <c r="Q7" s="3649"/>
      <c r="R7" s="1323" t="s">
        <v>70</v>
      </c>
      <c r="S7" s="1324">
        <f t="shared" ref="S7:S15" si="0">F7</f>
        <v>100</v>
      </c>
      <c r="T7" s="1323" t="s">
        <v>70</v>
      </c>
      <c r="U7" s="1324">
        <f t="shared" ref="U7:U15" si="1">H7</f>
        <v>96</v>
      </c>
      <c r="V7" s="1323" t="s">
        <v>70</v>
      </c>
      <c r="W7" s="1324">
        <f t="shared" ref="W7:W15" si="2">J7</f>
        <v>96</v>
      </c>
      <c r="X7" s="1325"/>
      <c r="Y7" s="3623" t="s">
        <v>569</v>
      </c>
      <c r="Z7" s="3624"/>
      <c r="AA7" s="1326">
        <f>D7/F7</f>
        <v>1</v>
      </c>
      <c r="AB7" s="1326">
        <f>D7/H7</f>
        <v>1.0416666666666667</v>
      </c>
      <c r="AC7" s="1326">
        <f>D7/J7</f>
        <v>1.0416666666666667</v>
      </c>
    </row>
    <row r="8" spans="1:30" s="412" customFormat="1" ht="15.75" thickBot="1">
      <c r="A8" s="755" t="s">
        <v>570</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7"/>
      <c r="M8" s="2378"/>
      <c r="N8" s="2378"/>
      <c r="O8" s="2378"/>
      <c r="P8" s="3623" t="s">
        <v>612</v>
      </c>
      <c r="Q8" s="3624"/>
      <c r="R8" s="1323" t="s">
        <v>70</v>
      </c>
      <c r="S8" s="1324">
        <f t="shared" si="0"/>
        <v>100</v>
      </c>
      <c r="T8" s="1323" t="s">
        <v>70</v>
      </c>
      <c r="U8" s="1324">
        <f t="shared" si="1"/>
        <v>100</v>
      </c>
      <c r="V8" s="1323" t="s">
        <v>70</v>
      </c>
      <c r="W8" s="1324">
        <f t="shared" si="2"/>
        <v>100</v>
      </c>
      <c r="X8" s="1325"/>
      <c r="Y8" s="3623" t="s">
        <v>612</v>
      </c>
      <c r="Z8" s="3624"/>
      <c r="AA8" s="1326">
        <f t="shared" ref="AA8:AA45" si="3">D8/F8</f>
        <v>1</v>
      </c>
      <c r="AB8" s="1326">
        <f t="shared" ref="AB8:AB45" si="4">D8/H8</f>
        <v>1</v>
      </c>
      <c r="AC8" s="1326">
        <f t="shared" ref="AC8:AC45" si="5">D8/J8</f>
        <v>1</v>
      </c>
    </row>
    <row r="9" spans="1:30" s="412" customFormat="1">
      <c r="A9" s="763" t="s">
        <v>571</v>
      </c>
      <c r="B9" s="367" t="s">
        <v>594</v>
      </c>
      <c r="C9" s="1026" t="s">
        <v>3457</v>
      </c>
      <c r="D9" s="429">
        <v>100</v>
      </c>
      <c r="E9" s="1026" t="s">
        <v>3457</v>
      </c>
      <c r="F9" s="429">
        <f>SUMIF(75:75,E9,76:76)-SUMIF(75:75,C9,76:76)+100</f>
        <v>100</v>
      </c>
      <c r="G9" s="1026" t="s">
        <v>3457</v>
      </c>
      <c r="H9" s="429">
        <f>SUMIF(75:75,G9,76:76)-SUMIF(75:75,C9,76:76)+100</f>
        <v>100</v>
      </c>
      <c r="I9" s="1026" t="s">
        <v>3457</v>
      </c>
      <c r="J9" s="429">
        <f>SUMIF(75:75,I9,76:76)-SUMIF(75:75,C9,76:76)+100</f>
        <v>100</v>
      </c>
      <c r="K9" s="958"/>
      <c r="L9" s="2377"/>
      <c r="M9" s="2378"/>
      <c r="N9" s="2378"/>
      <c r="O9" s="2379"/>
      <c r="P9" s="3635" t="s">
        <v>572</v>
      </c>
      <c r="Q9" s="302" t="str">
        <f t="shared" ref="Q9:Q15" si="6">B9</f>
        <v>用途</v>
      </c>
      <c r="R9" s="1323" t="s">
        <v>70</v>
      </c>
      <c r="S9" s="1324">
        <f t="shared" si="0"/>
        <v>100</v>
      </c>
      <c r="T9" s="1323" t="s">
        <v>70</v>
      </c>
      <c r="U9" s="1324">
        <f t="shared" si="1"/>
        <v>100</v>
      </c>
      <c r="V9" s="1323" t="s">
        <v>70</v>
      </c>
      <c r="W9" s="1324">
        <f t="shared" si="2"/>
        <v>100</v>
      </c>
      <c r="X9" s="1325"/>
      <c r="Y9" s="3590" t="s">
        <v>573</v>
      </c>
      <c r="Z9" s="350" t="str">
        <f t="shared" ref="Z9:Z15" si="7">Q9</f>
        <v>用途</v>
      </c>
      <c r="AA9" s="1326">
        <f t="shared" si="3"/>
        <v>1</v>
      </c>
      <c r="AB9" s="1326">
        <f t="shared" si="4"/>
        <v>1</v>
      </c>
      <c r="AC9" s="1326">
        <f t="shared" si="5"/>
        <v>1</v>
      </c>
    </row>
    <row r="10" spans="1:30" s="775" customFormat="1" ht="27">
      <c r="A10" s="769"/>
      <c r="B10" s="770" t="s">
        <v>574</v>
      </c>
      <c r="C10" s="780" t="s">
        <v>3580</v>
      </c>
      <c r="D10" s="430">
        <v>100</v>
      </c>
      <c r="E10" s="812" t="s">
        <v>3458</v>
      </c>
      <c r="F10" s="430">
        <f>ROUND(100/'数据-取费表'!G16,0)</f>
        <v>101</v>
      </c>
      <c r="G10" s="812" t="s">
        <v>3458</v>
      </c>
      <c r="H10" s="430">
        <f>ROUND(100/'数据-取费表'!G16,0)</f>
        <v>101</v>
      </c>
      <c r="I10" s="812" t="s">
        <v>3458</v>
      </c>
      <c r="J10" s="430">
        <f>ROUND(100/'数据-取费表'!G16,0)</f>
        <v>101</v>
      </c>
      <c r="K10" s="1086"/>
      <c r="L10" s="2380"/>
      <c r="M10" s="2381"/>
      <c r="N10" s="2381"/>
      <c r="O10" s="2382"/>
      <c r="P10" s="3635"/>
      <c r="Q10" s="302" t="str">
        <f t="shared" si="6"/>
        <v>土地使用年限（年）</v>
      </c>
      <c r="R10" s="1323" t="s">
        <v>70</v>
      </c>
      <c r="S10" s="1324">
        <f t="shared" si="0"/>
        <v>101</v>
      </c>
      <c r="T10" s="1323" t="s">
        <v>70</v>
      </c>
      <c r="U10" s="1324">
        <f t="shared" si="1"/>
        <v>101</v>
      </c>
      <c r="V10" s="1323" t="s">
        <v>70</v>
      </c>
      <c r="W10" s="1324">
        <f t="shared" si="2"/>
        <v>101</v>
      </c>
      <c r="X10" s="1325"/>
      <c r="Y10" s="3590"/>
      <c r="Z10" s="350" t="str">
        <f t="shared" si="7"/>
        <v>土地使用年限（年）</v>
      </c>
      <c r="AA10" s="1326">
        <f t="shared" si="3"/>
        <v>0.99009900990099009</v>
      </c>
      <c r="AB10" s="1326">
        <f t="shared" si="4"/>
        <v>0.99009900990099009</v>
      </c>
      <c r="AC10" s="1326">
        <f t="shared" si="5"/>
        <v>0.99009900990099009</v>
      </c>
    </row>
    <row r="11" spans="1:30" ht="15.75" thickBot="1">
      <c r="A11" s="776"/>
      <c r="B11" s="770" t="s">
        <v>575</v>
      </c>
      <c r="C11" s="777">
        <f>'数据-汇总表'!I6</f>
        <v>5.84</v>
      </c>
      <c r="D11" s="430">
        <v>100</v>
      </c>
      <c r="E11" s="777">
        <v>2.5</v>
      </c>
      <c r="F11" s="430">
        <f>LOOKUP(E11,80:80,81:81)-LOOKUP(C11,80:80,81:81)+100</f>
        <v>106</v>
      </c>
      <c r="G11" s="777">
        <v>2.5</v>
      </c>
      <c r="H11" s="430">
        <f>LOOKUP(G11,80:80,81:81)-LOOKUP(C11,80:80,81:81)+100</f>
        <v>106</v>
      </c>
      <c r="I11" s="777">
        <v>2.5</v>
      </c>
      <c r="J11" s="430">
        <f>LOOKUP(I11,80:80,81:81)-LOOKUP(C11,80:80,81:81)+100</f>
        <v>106</v>
      </c>
      <c r="K11" s="1087">
        <v>2</v>
      </c>
      <c r="L11" s="2383"/>
      <c r="M11" s="2376"/>
      <c r="N11" s="2376"/>
      <c r="O11" s="2384"/>
      <c r="P11" s="3635"/>
      <c r="Q11" s="302" t="str">
        <f t="shared" si="6"/>
        <v>容积率</v>
      </c>
      <c r="R11" s="1323" t="s">
        <v>70</v>
      </c>
      <c r="S11" s="1324">
        <f t="shared" si="0"/>
        <v>106</v>
      </c>
      <c r="T11" s="1323" t="s">
        <v>70</v>
      </c>
      <c r="U11" s="1324">
        <f t="shared" si="1"/>
        <v>106</v>
      </c>
      <c r="V11" s="1323" t="s">
        <v>70</v>
      </c>
      <c r="W11" s="1324">
        <f t="shared" si="2"/>
        <v>106</v>
      </c>
      <c r="X11" s="1325"/>
      <c r="Y11" s="3590"/>
      <c r="Z11" s="350" t="str">
        <f t="shared" si="7"/>
        <v>容积率</v>
      </c>
      <c r="AA11" s="1326">
        <f t="shared" si="3"/>
        <v>0.94339622641509435</v>
      </c>
      <c r="AB11" s="1326">
        <f t="shared" si="4"/>
        <v>0.94339622641509435</v>
      </c>
      <c r="AC11" s="1326">
        <f t="shared" si="5"/>
        <v>0.94339622641509435</v>
      </c>
    </row>
    <row r="12" spans="1:30" s="412" customFormat="1" ht="15" hidden="1">
      <c r="A12" s="779"/>
      <c r="B12" s="1035" t="s">
        <v>315</v>
      </c>
      <c r="C12" s="1028" t="s">
        <v>268</v>
      </c>
      <c r="D12" s="781">
        <v>100</v>
      </c>
      <c r="E12" s="1030" t="s">
        <v>268</v>
      </c>
      <c r="F12" s="430">
        <f>SUMIF(82:82,E12,83:83)-SUMIF(82:82,C12,83:83)+100</f>
        <v>100</v>
      </c>
      <c r="G12" s="1031" t="s">
        <v>268</v>
      </c>
      <c r="H12" s="430">
        <f>SUMIF(82:82,G12,83:83)-SUMIF(82:82,C12,83:83)+100</f>
        <v>100</v>
      </c>
      <c r="I12" s="1030" t="s">
        <v>268</v>
      </c>
      <c r="J12" s="430">
        <f>SUMIF(82:82,I12,83:83)-SUMIF(82:82,C12,83:83)+100</f>
        <v>100</v>
      </c>
      <c r="K12" s="1086"/>
      <c r="L12" s="2377"/>
      <c r="M12" s="2378"/>
      <c r="N12" s="2378"/>
      <c r="O12" s="2379"/>
      <c r="P12" s="3635"/>
      <c r="Q12" s="302" t="str">
        <f t="shared" si="6"/>
        <v>配建</v>
      </c>
      <c r="R12" s="1323" t="s">
        <v>70</v>
      </c>
      <c r="S12" s="1324">
        <f t="shared" si="0"/>
        <v>100</v>
      </c>
      <c r="T12" s="1323" t="s">
        <v>70</v>
      </c>
      <c r="U12" s="1324">
        <f t="shared" si="1"/>
        <v>100</v>
      </c>
      <c r="V12" s="1323" t="s">
        <v>70</v>
      </c>
      <c r="W12" s="1324">
        <f t="shared" si="2"/>
        <v>100</v>
      </c>
      <c r="X12" s="1325"/>
      <c r="Y12" s="3590"/>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5"/>
      <c r="M13" s="2376"/>
      <c r="N13" s="2376"/>
      <c r="O13" s="2384"/>
      <c r="P13" s="3635"/>
      <c r="Q13" s="302">
        <f t="shared" si="6"/>
        <v>111</v>
      </c>
      <c r="R13" s="1323" t="s">
        <v>70</v>
      </c>
      <c r="S13" s="1324">
        <f t="shared" si="0"/>
        <v>100</v>
      </c>
      <c r="T13" s="1323" t="s">
        <v>70</v>
      </c>
      <c r="U13" s="1324">
        <f t="shared" si="1"/>
        <v>100</v>
      </c>
      <c r="V13" s="1323" t="s">
        <v>70</v>
      </c>
      <c r="W13" s="1324">
        <f t="shared" si="2"/>
        <v>100</v>
      </c>
      <c r="X13" s="1325"/>
      <c r="Y13" s="3590"/>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5"/>
      <c r="M14" s="2376"/>
      <c r="N14" s="2376"/>
      <c r="O14" s="2384"/>
      <c r="P14" s="3635"/>
      <c r="Q14" s="302">
        <f t="shared" si="6"/>
        <v>111</v>
      </c>
      <c r="R14" s="1323" t="s">
        <v>70</v>
      </c>
      <c r="S14" s="1324">
        <f t="shared" si="0"/>
        <v>100</v>
      </c>
      <c r="T14" s="1323" t="s">
        <v>70</v>
      </c>
      <c r="U14" s="1324">
        <f t="shared" si="1"/>
        <v>100</v>
      </c>
      <c r="V14" s="1323" t="s">
        <v>70</v>
      </c>
      <c r="W14" s="1324">
        <f t="shared" si="2"/>
        <v>100</v>
      </c>
      <c r="X14" s="1325"/>
      <c r="Y14" s="3590"/>
      <c r="Z14" s="350">
        <f t="shared" si="7"/>
        <v>111</v>
      </c>
      <c r="AA14" s="1326">
        <f>D14/F14</f>
        <v>1</v>
      </c>
      <c r="AB14" s="1326">
        <f>D14/H14</f>
        <v>1</v>
      </c>
      <c r="AC14" s="1326">
        <f>D14/J14</f>
        <v>1</v>
      </c>
    </row>
    <row r="15" spans="1:30" ht="94.5">
      <c r="A15" s="788" t="s">
        <v>576</v>
      </c>
      <c r="B15" s="365" t="s">
        <v>450</v>
      </c>
      <c r="C15" s="157" t="str">
        <f>估价对象房地状况!C15</f>
        <v>估价对象周边居住用地比例、居住小区规模和社区发展完善程度，综合评价居住社区成熟度一般</v>
      </c>
      <c r="D15" s="789">
        <v>100</v>
      </c>
      <c r="E15" s="790"/>
      <c r="F15" s="789">
        <f>SUMIF(88:88,E16,89:89)-SUMIF(88:88,C16,89:89)+100</f>
        <v>95</v>
      </c>
      <c r="G15" s="790"/>
      <c r="H15" s="789">
        <f>SUMIF(88:88,G16,89:89)-SUMIF(88:88,C16,89:89)+100</f>
        <v>95</v>
      </c>
      <c r="I15" s="792"/>
      <c r="J15" s="789">
        <f>SUMIF(88:88,I16,89:89)-SUMIF(88:88,C16,89:89)+100</f>
        <v>95</v>
      </c>
      <c r="K15" s="1087">
        <v>5</v>
      </c>
      <c r="L15" s="2385"/>
      <c r="M15" s="2376"/>
      <c r="N15" s="2376"/>
      <c r="O15" s="2384"/>
      <c r="P15" s="3650" t="s">
        <v>577</v>
      </c>
      <c r="Q15" s="1327" t="str">
        <f t="shared" si="6"/>
        <v>居住社区成熟度</v>
      </c>
      <c r="R15" s="1328" t="s">
        <v>70</v>
      </c>
      <c r="S15" s="1329">
        <f t="shared" si="0"/>
        <v>95</v>
      </c>
      <c r="T15" s="1328" t="s">
        <v>70</v>
      </c>
      <c r="U15" s="1329">
        <f t="shared" si="1"/>
        <v>95</v>
      </c>
      <c r="V15" s="1328" t="s">
        <v>70</v>
      </c>
      <c r="W15" s="1329">
        <f t="shared" si="2"/>
        <v>95</v>
      </c>
      <c r="X15" s="1322"/>
      <c r="Y15" s="3650" t="s">
        <v>577</v>
      </c>
      <c r="Z15" s="1330" t="str">
        <f t="shared" si="7"/>
        <v>居住社区成熟度</v>
      </c>
      <c r="AA15" s="1331">
        <f t="shared" si="3"/>
        <v>1.0526315789473684</v>
      </c>
      <c r="AB15" s="1331">
        <f t="shared" si="4"/>
        <v>1.0526315789473684</v>
      </c>
      <c r="AC15" s="1331">
        <f t="shared" si="5"/>
        <v>1.0526315789473684</v>
      </c>
    </row>
    <row r="16" spans="1:30" ht="15">
      <c r="A16" s="776"/>
      <c r="B16" s="794"/>
      <c r="C16" s="97" t="s">
        <v>123</v>
      </c>
      <c r="D16" s="796"/>
      <c r="E16" s="98" t="s">
        <v>124</v>
      </c>
      <c r="F16" s="796"/>
      <c r="G16" s="98" t="s">
        <v>124</v>
      </c>
      <c r="H16" s="798"/>
      <c r="I16" s="99" t="s">
        <v>124</v>
      </c>
      <c r="J16" s="796"/>
      <c r="K16" s="1086"/>
      <c r="L16" s="2385"/>
      <c r="M16" s="2376"/>
      <c r="N16" s="2376"/>
      <c r="O16" s="2384"/>
      <c r="P16" s="3651"/>
      <c r="Q16" s="1327"/>
      <c r="R16" s="1328"/>
      <c r="S16" s="1329"/>
      <c r="T16" s="1328"/>
      <c r="U16" s="1329"/>
      <c r="V16" s="1328"/>
      <c r="W16" s="1329"/>
      <c r="X16" s="1322"/>
      <c r="Y16" s="3651"/>
      <c r="Z16" s="1330"/>
      <c r="AA16" s="1331">
        <v>1</v>
      </c>
      <c r="AB16" s="1331">
        <v>1</v>
      </c>
      <c r="AC16" s="1331">
        <v>1</v>
      </c>
    </row>
    <row r="17" spans="1:29" ht="81">
      <c r="A17" s="776"/>
      <c r="B17" s="799" t="s">
        <v>616</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5"/>
      <c r="M17" s="2376"/>
      <c r="N17" s="2376"/>
      <c r="O17" s="2384"/>
      <c r="P17" s="3651"/>
      <c r="Q17" s="1327" t="str">
        <f>B17</f>
        <v>商业繁华度</v>
      </c>
      <c r="R17" s="1328" t="s">
        <v>70</v>
      </c>
      <c r="S17" s="1329">
        <f>F17</f>
        <v>97</v>
      </c>
      <c r="T17" s="1328" t="s">
        <v>70</v>
      </c>
      <c r="U17" s="1329">
        <f>H17</f>
        <v>97</v>
      </c>
      <c r="V17" s="1328" t="s">
        <v>70</v>
      </c>
      <c r="W17" s="1329">
        <f>J17</f>
        <v>97</v>
      </c>
      <c r="X17" s="1322"/>
      <c r="Y17" s="3651"/>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5"/>
      <c r="M18" s="2376"/>
      <c r="N18" s="2376"/>
      <c r="O18" s="2384"/>
      <c r="P18" s="3651"/>
      <c r="Q18" s="1327"/>
      <c r="R18" s="1328"/>
      <c r="S18" s="1329"/>
      <c r="T18" s="1328"/>
      <c r="U18" s="1329"/>
      <c r="V18" s="1328"/>
      <c r="W18" s="1329"/>
      <c r="X18" s="1322"/>
      <c r="Y18" s="3651"/>
      <c r="Z18" s="1330"/>
      <c r="AA18" s="1331">
        <v>1</v>
      </c>
      <c r="AB18" s="1331">
        <v>1</v>
      </c>
      <c r="AC18" s="1331">
        <v>1</v>
      </c>
    </row>
    <row r="19" spans="1:29" ht="81" hidden="1">
      <c r="A19" s="776"/>
      <c r="B19" s="799" t="s">
        <v>626</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5"/>
      <c r="M19" s="2376"/>
      <c r="N19" s="2376"/>
      <c r="O19" s="2384"/>
      <c r="P19" s="3651"/>
      <c r="Q19" s="1327" t="str">
        <f>B19</f>
        <v>办公集聚程度</v>
      </c>
      <c r="R19" s="1328" t="s">
        <v>70</v>
      </c>
      <c r="S19" s="1329">
        <f>F19</f>
        <v>100</v>
      </c>
      <c r="T19" s="1328" t="s">
        <v>70</v>
      </c>
      <c r="U19" s="1329">
        <f>H19</f>
        <v>100</v>
      </c>
      <c r="V19" s="1328" t="s">
        <v>70</v>
      </c>
      <c r="W19" s="1329">
        <f>J19</f>
        <v>100</v>
      </c>
      <c r="X19" s="1322"/>
      <c r="Y19" s="3651"/>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5"/>
      <c r="M20" s="2376"/>
      <c r="N20" s="2376"/>
      <c r="O20" s="2384"/>
      <c r="P20" s="3651"/>
      <c r="Q20" s="1327"/>
      <c r="R20" s="1328"/>
      <c r="S20" s="1329"/>
      <c r="T20" s="1328"/>
      <c r="U20" s="1329"/>
      <c r="V20" s="1328"/>
      <c r="W20" s="1329"/>
      <c r="X20" s="1322"/>
      <c r="Y20" s="3651"/>
      <c r="Z20" s="1330"/>
      <c r="AA20" s="1331">
        <v>1</v>
      </c>
      <c r="AB20" s="1331">
        <v>1</v>
      </c>
      <c r="AC20" s="1331">
        <v>1</v>
      </c>
    </row>
    <row r="21" spans="1:29" ht="94.5">
      <c r="A21" s="776"/>
      <c r="B21" s="799" t="s">
        <v>647</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100</v>
      </c>
      <c r="I21" s="802"/>
      <c r="J21" s="798">
        <f>SUMIF(94:94,I22,95:95)-SUMIF(94:94,C22,95:95)+100</f>
        <v>97</v>
      </c>
      <c r="K21" s="1087">
        <v>3</v>
      </c>
      <c r="L21" s="2385"/>
      <c r="M21" s="2376"/>
      <c r="N21" s="2376"/>
      <c r="O21" s="2384"/>
      <c r="P21" s="3651"/>
      <c r="Q21" s="1327" t="str">
        <f>B21</f>
        <v>交通便捷度</v>
      </c>
      <c r="R21" s="1328" t="s">
        <v>70</v>
      </c>
      <c r="S21" s="1329">
        <f>F21</f>
        <v>100</v>
      </c>
      <c r="T21" s="1328" t="s">
        <v>70</v>
      </c>
      <c r="U21" s="1329">
        <f>H21</f>
        <v>100</v>
      </c>
      <c r="V21" s="1328" t="s">
        <v>70</v>
      </c>
      <c r="W21" s="1329">
        <f>J21</f>
        <v>97</v>
      </c>
      <c r="X21" s="1322"/>
      <c r="Y21" s="3651"/>
      <c r="Z21" s="1330" t="str">
        <f>Q21</f>
        <v>交通便捷度</v>
      </c>
      <c r="AA21" s="1331">
        <f t="shared" si="3"/>
        <v>1</v>
      </c>
      <c r="AB21" s="1331">
        <f t="shared" si="4"/>
        <v>1</v>
      </c>
      <c r="AC21" s="1331">
        <f t="shared" si="5"/>
        <v>1.0309278350515463</v>
      </c>
    </row>
    <row r="22" spans="1:29" ht="15">
      <c r="A22" s="776"/>
      <c r="B22" s="2805"/>
      <c r="C22" s="97" t="s">
        <v>123</v>
      </c>
      <c r="D22" s="798"/>
      <c r="E22" s="98" t="s">
        <v>123</v>
      </c>
      <c r="F22" s="796"/>
      <c r="G22" s="98" t="s">
        <v>123</v>
      </c>
      <c r="H22" s="796"/>
      <c r="I22" s="99" t="s">
        <v>124</v>
      </c>
      <c r="J22" s="796"/>
      <c r="K22" s="1086"/>
      <c r="L22" s="2385"/>
      <c r="M22" s="2376"/>
      <c r="N22" s="2376"/>
      <c r="O22" s="2384"/>
      <c r="P22" s="3651"/>
      <c r="Q22" s="1327"/>
      <c r="R22" s="1328"/>
      <c r="S22" s="1329"/>
      <c r="T22" s="1328"/>
      <c r="U22" s="1329"/>
      <c r="V22" s="1328"/>
      <c r="W22" s="1329"/>
      <c r="X22" s="1322"/>
      <c r="Y22" s="3651"/>
      <c r="Z22" s="1330"/>
      <c r="AA22" s="1331">
        <v>1</v>
      </c>
      <c r="AB22" s="1331">
        <v>1</v>
      </c>
      <c r="AC22" s="1331">
        <v>1</v>
      </c>
    </row>
    <row r="23" spans="1:29" ht="40.5">
      <c r="A23" s="751"/>
      <c r="B23" s="799" t="s">
        <v>699</v>
      </c>
      <c r="C23" s="2810"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5"/>
      <c r="M23" s="2376"/>
      <c r="N23" s="2376"/>
      <c r="O23" s="2384"/>
      <c r="P23" s="3651"/>
      <c r="Q23" s="1327" t="str">
        <f t="shared" ref="Q23:Q37" si="8">B23</f>
        <v>区域土地利用方向</v>
      </c>
      <c r="R23" s="1328" t="s">
        <v>70</v>
      </c>
      <c r="S23" s="1329">
        <f>F23</f>
        <v>100</v>
      </c>
      <c r="T23" s="1328" t="s">
        <v>70</v>
      </c>
      <c r="U23" s="1329">
        <f>H23</f>
        <v>100</v>
      </c>
      <c r="V23" s="1328" t="s">
        <v>70</v>
      </c>
      <c r="W23" s="1329">
        <f>J23</f>
        <v>100</v>
      </c>
      <c r="X23" s="1322"/>
      <c r="Y23" s="3651"/>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5"/>
      <c r="M24" s="2376"/>
      <c r="N24" s="2376"/>
      <c r="O24" s="2384"/>
      <c r="P24" s="3651"/>
      <c r="Q24" s="1495"/>
      <c r="R24" s="1328"/>
      <c r="S24" s="1329"/>
      <c r="T24" s="1328"/>
      <c r="U24" s="1329"/>
      <c r="V24" s="1328"/>
      <c r="W24" s="1329"/>
      <c r="X24" s="1494"/>
      <c r="Y24" s="3651"/>
      <c r="Z24" s="1496"/>
      <c r="AA24" s="1331"/>
      <c r="AB24" s="1331"/>
      <c r="AC24" s="1331"/>
    </row>
    <row r="25" spans="1:29" ht="54">
      <c r="A25" s="751"/>
      <c r="B25" s="2805" t="s">
        <v>700</v>
      </c>
      <c r="C25" s="190" t="str">
        <f>估价对象房地状况!C20</f>
        <v>区域自然环境：；人文环境；综合评价环境状况一般</v>
      </c>
      <c r="D25" s="798">
        <v>100</v>
      </c>
      <c r="E25" s="800"/>
      <c r="F25" s="798">
        <f>SUMIF(98:98,E26,99:99)-SUMIF(98:98,C26,99:99)+100</f>
        <v>95</v>
      </c>
      <c r="G25" s="800"/>
      <c r="H25" s="798">
        <f>SUMIF(98:98,G26,99:99)-SUMIF(98:98,C26,99:99)+100</f>
        <v>95</v>
      </c>
      <c r="I25" s="802"/>
      <c r="J25" s="798">
        <f>SUMIF(98:98,I26,99:99)-SUMIF(98:98,C26,99:99)+100</f>
        <v>95</v>
      </c>
      <c r="K25" s="1087">
        <v>5</v>
      </c>
      <c r="L25" s="2385"/>
      <c r="M25" s="2376"/>
      <c r="N25" s="2376"/>
      <c r="O25" s="2384"/>
      <c r="P25" s="3651"/>
      <c r="Q25" s="1327" t="str">
        <f t="shared" si="8"/>
        <v>自然及人文环境状况</v>
      </c>
      <c r="R25" s="1328" t="s">
        <v>70</v>
      </c>
      <c r="S25" s="1329">
        <f>F25</f>
        <v>95</v>
      </c>
      <c r="T25" s="1328" t="s">
        <v>70</v>
      </c>
      <c r="U25" s="1329">
        <f>H25</f>
        <v>95</v>
      </c>
      <c r="V25" s="1328" t="s">
        <v>70</v>
      </c>
      <c r="W25" s="1329">
        <f>J25</f>
        <v>95</v>
      </c>
      <c r="X25" s="1322"/>
      <c r="Y25" s="3651"/>
      <c r="Z25" s="1330" t="str">
        <f>Q25</f>
        <v>自然及人文环境状况</v>
      </c>
      <c r="AA25" s="1331">
        <f t="shared" si="3"/>
        <v>1.0526315789473684</v>
      </c>
      <c r="AB25" s="1331">
        <f t="shared" si="4"/>
        <v>1.0526315789473684</v>
      </c>
      <c r="AC25" s="1331">
        <f t="shared" si="5"/>
        <v>1.0526315789473684</v>
      </c>
    </row>
    <row r="26" spans="1:29" ht="15">
      <c r="A26" s="751"/>
      <c r="B26" s="804"/>
      <c r="C26" s="97" t="s">
        <v>123</v>
      </c>
      <c r="D26" s="796"/>
      <c r="E26" s="192" t="s">
        <v>124</v>
      </c>
      <c r="F26" s="796"/>
      <c r="G26" s="192" t="s">
        <v>124</v>
      </c>
      <c r="H26" s="796"/>
      <c r="I26" s="97" t="s">
        <v>124</v>
      </c>
      <c r="J26" s="796"/>
      <c r="K26" s="1086"/>
      <c r="L26" s="2385"/>
      <c r="M26" s="2376"/>
      <c r="N26" s="2376"/>
      <c r="O26" s="2384"/>
      <c r="P26" s="3651"/>
      <c r="Q26" s="1327"/>
      <c r="R26" s="1328"/>
      <c r="S26" s="1329"/>
      <c r="T26" s="1328"/>
      <c r="U26" s="1329"/>
      <c r="V26" s="1328"/>
      <c r="W26" s="1329"/>
      <c r="X26" s="1322"/>
      <c r="Y26" s="3651"/>
      <c r="Z26" s="1330"/>
      <c r="AA26" s="1331">
        <v>1</v>
      </c>
      <c r="AB26" s="1331">
        <v>1</v>
      </c>
      <c r="AC26" s="1331">
        <v>1</v>
      </c>
    </row>
    <row r="27" spans="1:29" s="412" customFormat="1" ht="40.5">
      <c r="A27" s="996"/>
      <c r="B27" s="1416" t="s">
        <v>3069</v>
      </c>
      <c r="C27" s="158" t="str">
        <f>估价对象房地状况!C21</f>
        <v>估价对象所在区域公共配套设施齐备情况</v>
      </c>
      <c r="D27" s="798">
        <v>100</v>
      </c>
      <c r="E27" s="800"/>
      <c r="F27" s="798">
        <f>SUMIF(100:100,E28,101:101)-SUMIF(100:100,C28,101:101)+100</f>
        <v>100</v>
      </c>
      <c r="G27" s="800"/>
      <c r="H27" s="798">
        <f>SUMIF(100:100,G28,101:101)-SUMIF(100:100,C28,101:101)+100</f>
        <v>100</v>
      </c>
      <c r="I27" s="802"/>
      <c r="J27" s="798">
        <f>SUMIF(100:100,I28,101:101)-SUMIF(100:100,C28,101:101)+100</f>
        <v>100</v>
      </c>
      <c r="K27" s="1087">
        <v>2</v>
      </c>
      <c r="L27" s="2377"/>
      <c r="M27" s="2378"/>
      <c r="N27" s="2378"/>
      <c r="O27" s="2379"/>
      <c r="P27" s="3651"/>
      <c r="Q27" s="302" t="str">
        <f t="shared" si="8"/>
        <v>公共配套设施</v>
      </c>
      <c r="R27" s="1323" t="s">
        <v>70</v>
      </c>
      <c r="S27" s="1324">
        <f>F27</f>
        <v>100</v>
      </c>
      <c r="T27" s="1323" t="s">
        <v>70</v>
      </c>
      <c r="U27" s="1324">
        <f>H27</f>
        <v>100</v>
      </c>
      <c r="V27" s="1323" t="s">
        <v>70</v>
      </c>
      <c r="W27" s="1324">
        <f>J27</f>
        <v>100</v>
      </c>
      <c r="X27" s="1325"/>
      <c r="Y27" s="3651"/>
      <c r="Z27" s="350" t="str">
        <f>Q27</f>
        <v>公共配套设施</v>
      </c>
      <c r="AA27" s="1331">
        <f>D27/F27</f>
        <v>1</v>
      </c>
      <c r="AB27" s="1331">
        <f>D27/H27</f>
        <v>1</v>
      </c>
      <c r="AC27" s="1331">
        <f>D27/J27</f>
        <v>1</v>
      </c>
    </row>
    <row r="28" spans="1:29" s="412" customFormat="1" ht="15">
      <c r="A28" s="996"/>
      <c r="B28" s="804"/>
      <c r="C28" s="2811" t="s">
        <v>123</v>
      </c>
      <c r="D28" s="796"/>
      <c r="E28" s="192" t="s">
        <v>123</v>
      </c>
      <c r="F28" s="796"/>
      <c r="G28" s="192" t="s">
        <v>123</v>
      </c>
      <c r="H28" s="796"/>
      <c r="I28" s="97" t="s">
        <v>123</v>
      </c>
      <c r="J28" s="796"/>
      <c r="K28" s="1086"/>
      <c r="L28" s="2377"/>
      <c r="M28" s="2378"/>
      <c r="N28" s="2378"/>
      <c r="O28" s="2379"/>
      <c r="P28" s="3651"/>
      <c r="Q28" s="302"/>
      <c r="R28" s="1323"/>
      <c r="S28" s="1324"/>
      <c r="T28" s="1323"/>
      <c r="U28" s="1324"/>
      <c r="V28" s="1323"/>
      <c r="W28" s="1324"/>
      <c r="X28" s="1325"/>
      <c r="Y28" s="3651"/>
      <c r="Z28" s="350"/>
      <c r="AA28" s="1331">
        <v>1</v>
      </c>
      <c r="AB28" s="1331">
        <v>1</v>
      </c>
      <c r="AC28" s="1331">
        <v>1</v>
      </c>
    </row>
    <row r="29" spans="1:29" s="412" customFormat="1" ht="40.5">
      <c r="A29" s="996"/>
      <c r="B29" s="1416" t="s">
        <v>3070</v>
      </c>
      <c r="C29" s="158" t="str">
        <f>估价对象房地状况!C22</f>
        <v>估价对象所在区域基础设施水平</v>
      </c>
      <c r="D29" s="798">
        <v>100</v>
      </c>
      <c r="E29" s="800"/>
      <c r="F29" s="798">
        <f>SUMIF(102:102,E30,103:103)-SUMIF(102:102,C30,103:103)+100</f>
        <v>100</v>
      </c>
      <c r="G29" s="800"/>
      <c r="H29" s="798">
        <f>SUMIF(102:102,G30,103:103)-SUMIF(102:102,C30,103:103)+100</f>
        <v>100</v>
      </c>
      <c r="I29" s="802"/>
      <c r="J29" s="798">
        <f>SUMIF(102:102,I30,103:103)-SUMIF(102:102,C30,103:103)+100</f>
        <v>100</v>
      </c>
      <c r="K29" s="1087">
        <v>2</v>
      </c>
      <c r="L29" s="2377"/>
      <c r="M29" s="2378"/>
      <c r="N29" s="2378"/>
      <c r="O29" s="2379"/>
      <c r="P29" s="3651"/>
      <c r="Q29" s="2780" t="str">
        <f t="shared" ref="Q29" si="9">B29</f>
        <v>基础设施水平</v>
      </c>
      <c r="R29" s="1323" t="s">
        <v>70</v>
      </c>
      <c r="S29" s="1324">
        <f>F29</f>
        <v>100</v>
      </c>
      <c r="T29" s="1323" t="s">
        <v>70</v>
      </c>
      <c r="U29" s="1324">
        <f>H29</f>
        <v>100</v>
      </c>
      <c r="V29" s="1323" t="s">
        <v>70</v>
      </c>
      <c r="W29" s="1324">
        <f>J29</f>
        <v>100</v>
      </c>
      <c r="X29" s="1325"/>
      <c r="Y29" s="3651"/>
      <c r="Z29" s="350" t="str">
        <f>Q29</f>
        <v>基础设施水平</v>
      </c>
      <c r="AA29" s="1331">
        <f>D29/F29</f>
        <v>1</v>
      </c>
      <c r="AB29" s="1331">
        <f>D29/H29</f>
        <v>1</v>
      </c>
      <c r="AC29" s="1331">
        <f>D29/J29</f>
        <v>1</v>
      </c>
    </row>
    <row r="30" spans="1:29" s="412" customFormat="1" ht="15">
      <c r="A30" s="996"/>
      <c r="B30" s="804"/>
      <c r="C30" s="2811" t="s">
        <v>56</v>
      </c>
      <c r="D30" s="796"/>
      <c r="E30" s="1041" t="s">
        <v>56</v>
      </c>
      <c r="F30" s="796"/>
      <c r="G30" s="1041" t="s">
        <v>56</v>
      </c>
      <c r="H30" s="796"/>
      <c r="I30" s="1041" t="s">
        <v>56</v>
      </c>
      <c r="J30" s="796"/>
      <c r="K30" s="1086"/>
      <c r="L30" s="2377"/>
      <c r="M30" s="2378"/>
      <c r="N30" s="2378"/>
      <c r="O30" s="2379"/>
      <c r="P30" s="3651"/>
      <c r="Q30" s="2780"/>
      <c r="R30" s="1323"/>
      <c r="S30" s="1324"/>
      <c r="T30" s="1323"/>
      <c r="U30" s="1324"/>
      <c r="V30" s="1323"/>
      <c r="W30" s="1324"/>
      <c r="X30" s="1325"/>
      <c r="Y30" s="3651"/>
      <c r="Z30" s="350"/>
      <c r="AA30" s="1331">
        <v>1</v>
      </c>
      <c r="AB30" s="1331">
        <v>1</v>
      </c>
      <c r="AC30" s="1331">
        <v>1</v>
      </c>
    </row>
    <row r="31" spans="1:29" ht="15">
      <c r="A31" s="776"/>
      <c r="B31" s="804" t="s">
        <v>619</v>
      </c>
      <c r="C31" s="182" t="s">
        <v>260</v>
      </c>
      <c r="D31" s="783">
        <v>100</v>
      </c>
      <c r="E31" s="195" t="s">
        <v>178</v>
      </c>
      <c r="F31" s="783">
        <f>SUMIF(104:104,E31,105:105)-SUMIF(104:104,C31,105:105)+100</f>
        <v>97</v>
      </c>
      <c r="G31" s="195" t="s">
        <v>260</v>
      </c>
      <c r="H31" s="783">
        <f>SUMIF(104:104,G31,105:105)-SUMIF(104:104,C31,105:105)+100</f>
        <v>100</v>
      </c>
      <c r="I31" s="195" t="s">
        <v>260</v>
      </c>
      <c r="J31" s="783">
        <f>SUMIF(104:104,I31,105:105)-SUMIF(104:104,C31,105:105)+100</f>
        <v>100</v>
      </c>
      <c r="K31" s="1087">
        <v>3</v>
      </c>
      <c r="L31" s="2385"/>
      <c r="M31" s="2376"/>
      <c r="N31" s="2376"/>
      <c r="O31" s="2384"/>
      <c r="P31" s="3651"/>
      <c r="Q31" s="1327" t="str">
        <f t="shared" si="8"/>
        <v>临街状况</v>
      </c>
      <c r="R31" s="1328" t="s">
        <v>70</v>
      </c>
      <c r="S31" s="1329">
        <f t="shared" ref="S31:S45" si="10">F31</f>
        <v>97</v>
      </c>
      <c r="T31" s="1328" t="s">
        <v>70</v>
      </c>
      <c r="U31" s="1329">
        <f t="shared" ref="U31:U45" si="11">H31</f>
        <v>100</v>
      </c>
      <c r="V31" s="1328" t="s">
        <v>70</v>
      </c>
      <c r="W31" s="1329">
        <f t="shared" ref="W31:W45" si="12">J31</f>
        <v>100</v>
      </c>
      <c r="X31" s="1322"/>
      <c r="Y31" s="3651"/>
      <c r="Z31" s="1330" t="str">
        <f t="shared" ref="Z31:Z45" si="13">Q31</f>
        <v>临街状况</v>
      </c>
      <c r="AA31" s="1331">
        <f t="shared" si="3"/>
        <v>1.0309278350515463</v>
      </c>
      <c r="AB31" s="1331">
        <f t="shared" si="4"/>
        <v>1</v>
      </c>
      <c r="AC31" s="1331">
        <f t="shared" si="5"/>
        <v>1</v>
      </c>
    </row>
    <row r="32" spans="1:29" ht="28.5">
      <c r="A32" s="776"/>
      <c r="B32" s="2805" t="s">
        <v>627</v>
      </c>
      <c r="C32" s="802" t="s">
        <v>701</v>
      </c>
      <c r="D32" s="798">
        <v>100</v>
      </c>
      <c r="E32" s="800"/>
      <c r="F32" s="798">
        <f>SUMIF(106:106,E33,107:107)-SUMIF(106:106,C33,107:107)+100</f>
        <v>98</v>
      </c>
      <c r="G32" s="800"/>
      <c r="H32" s="798">
        <f>SUMIF(106:106,G33,107:107)-SUMIF(106:106,C33,107:107)+100</f>
        <v>100</v>
      </c>
      <c r="I32" s="802"/>
      <c r="J32" s="798">
        <f>SUMIF(106:106,I33,107:107)-SUMIF(106:106,C33,107:107)+100</f>
        <v>98</v>
      </c>
      <c r="K32" s="1087">
        <v>2</v>
      </c>
      <c r="L32" s="2385"/>
      <c r="M32" s="2376"/>
      <c r="N32" s="2376"/>
      <c r="O32" s="2384"/>
      <c r="P32" s="3651"/>
      <c r="Q32" s="1327" t="str">
        <f t="shared" si="8"/>
        <v>毗邻道路的类型与等级</v>
      </c>
      <c r="R32" s="1328" t="s">
        <v>70</v>
      </c>
      <c r="S32" s="1329">
        <f t="shared" si="10"/>
        <v>98</v>
      </c>
      <c r="T32" s="1328" t="s">
        <v>70</v>
      </c>
      <c r="U32" s="1329">
        <f t="shared" si="11"/>
        <v>100</v>
      </c>
      <c r="V32" s="1328" t="s">
        <v>70</v>
      </c>
      <c r="W32" s="1329">
        <f t="shared" si="12"/>
        <v>98</v>
      </c>
      <c r="X32" s="1322"/>
      <c r="Y32" s="3651"/>
      <c r="Z32" s="1330" t="str">
        <f t="shared" si="13"/>
        <v>毗邻道路的类型与等级</v>
      </c>
      <c r="AA32" s="1331">
        <f t="shared" si="3"/>
        <v>1.0204081632653061</v>
      </c>
      <c r="AB32" s="1331">
        <f t="shared" si="4"/>
        <v>1</v>
      </c>
      <c r="AC32" s="1331">
        <f t="shared" si="5"/>
        <v>1.0204081632653061</v>
      </c>
    </row>
    <row r="33" spans="1:29" ht="17.25" customHeight="1" thickBot="1">
      <c r="A33" s="776"/>
      <c r="B33" s="804"/>
      <c r="C33" s="97" t="s">
        <v>225</v>
      </c>
      <c r="D33" s="796"/>
      <c r="E33" s="192" t="s">
        <v>256</v>
      </c>
      <c r="F33" s="796"/>
      <c r="G33" s="192" t="s">
        <v>225</v>
      </c>
      <c r="H33" s="796"/>
      <c r="I33" s="97" t="s">
        <v>256</v>
      </c>
      <c r="J33" s="796"/>
      <c r="K33" s="960"/>
      <c r="L33" s="2385"/>
      <c r="M33" s="2376"/>
      <c r="N33" s="2376"/>
      <c r="O33" s="2384"/>
      <c r="P33" s="3651"/>
      <c r="Q33" s="1327"/>
      <c r="R33" s="1328"/>
      <c r="S33" s="1329"/>
      <c r="T33" s="1328"/>
      <c r="U33" s="1329"/>
      <c r="V33" s="1328"/>
      <c r="W33" s="1329"/>
      <c r="X33" s="1322"/>
      <c r="Y33" s="3651"/>
      <c r="Z33" s="1330"/>
      <c r="AA33" s="1331">
        <v>1</v>
      </c>
      <c r="AB33" s="1331">
        <v>1</v>
      </c>
      <c r="AC33" s="1331">
        <v>1</v>
      </c>
    </row>
    <row r="34" spans="1:29" ht="15.75" hidden="1" thickBot="1">
      <c r="A34" s="776"/>
      <c r="B34" s="770" t="s">
        <v>702</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5"/>
      <c r="M34" s="2376"/>
      <c r="N34" s="2376"/>
      <c r="O34" s="2384"/>
      <c r="P34" s="3651"/>
      <c r="Q34" s="1327" t="str">
        <f t="shared" si="8"/>
        <v>土地级别</v>
      </c>
      <c r="R34" s="1328" t="s">
        <v>70</v>
      </c>
      <c r="S34" s="1329">
        <f t="shared" si="10"/>
        <v>100</v>
      </c>
      <c r="T34" s="1328" t="s">
        <v>70</v>
      </c>
      <c r="U34" s="1329">
        <f t="shared" si="11"/>
        <v>100</v>
      </c>
      <c r="V34" s="1328" t="s">
        <v>70</v>
      </c>
      <c r="W34" s="1329">
        <f t="shared" si="12"/>
        <v>100</v>
      </c>
      <c r="X34" s="1322"/>
      <c r="Y34" s="3651"/>
      <c r="Z34" s="1330" t="str">
        <f t="shared" si="13"/>
        <v>土地级别</v>
      </c>
      <c r="AA34" s="1331">
        <f t="shared" si="3"/>
        <v>1</v>
      </c>
      <c r="AB34" s="1331">
        <f t="shared" si="4"/>
        <v>1</v>
      </c>
      <c r="AC34" s="1331">
        <f t="shared" si="5"/>
        <v>1</v>
      </c>
    </row>
    <row r="35" spans="1:29" ht="15" hidden="1">
      <c r="A35" s="751"/>
      <c r="B35" s="2807">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5"/>
      <c r="M35" s="2376"/>
      <c r="N35" s="2376"/>
      <c r="O35" s="2384"/>
      <c r="P35" s="3651"/>
      <c r="Q35" s="1327">
        <f t="shared" si="8"/>
        <v>111</v>
      </c>
      <c r="R35" s="1328" t="s">
        <v>70</v>
      </c>
      <c r="S35" s="1329">
        <f t="shared" si="10"/>
        <v>100</v>
      </c>
      <c r="T35" s="1328" t="s">
        <v>70</v>
      </c>
      <c r="U35" s="1329">
        <f t="shared" si="11"/>
        <v>100</v>
      </c>
      <c r="V35" s="1328" t="s">
        <v>70</v>
      </c>
      <c r="W35" s="1329">
        <f t="shared" si="12"/>
        <v>100</v>
      </c>
      <c r="X35" s="1322"/>
      <c r="Y35" s="3651"/>
      <c r="Z35" s="1330">
        <f t="shared" si="13"/>
        <v>111</v>
      </c>
      <c r="AA35" s="1331">
        <f t="shared" si="3"/>
        <v>1</v>
      </c>
      <c r="AB35" s="1331">
        <f t="shared" si="4"/>
        <v>1</v>
      </c>
      <c r="AC35" s="1331">
        <f t="shared" si="5"/>
        <v>1</v>
      </c>
    </row>
    <row r="36" spans="1:29" ht="15" hidden="1">
      <c r="A36" s="1089"/>
      <c r="B36" s="2808">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5"/>
      <c r="M36" s="2376"/>
      <c r="N36" s="2376"/>
      <c r="O36" s="2384"/>
      <c r="P36" s="3652" t="s">
        <v>582</v>
      </c>
      <c r="Q36" s="1327">
        <f t="shared" si="8"/>
        <v>111</v>
      </c>
      <c r="R36" s="1328" t="s">
        <v>70</v>
      </c>
      <c r="S36" s="1329">
        <f t="shared" si="10"/>
        <v>100</v>
      </c>
      <c r="T36" s="1328" t="s">
        <v>70</v>
      </c>
      <c r="U36" s="1329">
        <f t="shared" si="11"/>
        <v>100</v>
      </c>
      <c r="V36" s="1328" t="s">
        <v>70</v>
      </c>
      <c r="W36" s="1329">
        <f t="shared" si="12"/>
        <v>100</v>
      </c>
      <c r="X36" s="1322"/>
      <c r="Y36" s="3653" t="s">
        <v>582</v>
      </c>
      <c r="Z36" s="1330">
        <f t="shared" si="13"/>
        <v>111</v>
      </c>
      <c r="AA36" s="1331">
        <f t="shared" si="3"/>
        <v>1</v>
      </c>
      <c r="AB36" s="1331">
        <f t="shared" si="4"/>
        <v>1</v>
      </c>
      <c r="AC36" s="1331">
        <f t="shared" si="5"/>
        <v>1</v>
      </c>
    </row>
    <row r="37" spans="1:29" s="818" customFormat="1" ht="15.75" hidden="1" thickBot="1">
      <c r="A37" s="1090"/>
      <c r="B37" s="2809">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3"/>
      <c r="M37" s="2386"/>
      <c r="N37" s="2386"/>
      <c r="O37" s="2387"/>
      <c r="P37" s="3653"/>
      <c r="Q37" s="1327">
        <f t="shared" si="8"/>
        <v>111</v>
      </c>
      <c r="R37" s="1333" t="s">
        <v>70</v>
      </c>
      <c r="S37" s="1334">
        <f t="shared" si="10"/>
        <v>100</v>
      </c>
      <c r="T37" s="1333" t="s">
        <v>70</v>
      </c>
      <c r="U37" s="1334">
        <f t="shared" si="11"/>
        <v>100</v>
      </c>
      <c r="V37" s="1333" t="s">
        <v>70</v>
      </c>
      <c r="W37" s="1334">
        <f t="shared" si="12"/>
        <v>100</v>
      </c>
      <c r="X37" s="1335"/>
      <c r="Y37" s="3653"/>
      <c r="Z37" s="1336">
        <f t="shared" si="13"/>
        <v>111</v>
      </c>
      <c r="AA37" s="1331">
        <f t="shared" si="3"/>
        <v>1</v>
      </c>
      <c r="AB37" s="1331">
        <f t="shared" si="4"/>
        <v>1</v>
      </c>
      <c r="AC37" s="1331">
        <f t="shared" si="5"/>
        <v>1</v>
      </c>
    </row>
    <row r="38" spans="1:29" ht="15">
      <c r="A38" s="819" t="s">
        <v>581</v>
      </c>
      <c r="B38" s="804" t="s">
        <v>703</v>
      </c>
      <c r="C38" s="1093">
        <f>'数据-汇总表'!D3</f>
        <v>24814.06</v>
      </c>
      <c r="D38" s="814">
        <v>100</v>
      </c>
      <c r="E38" s="1093">
        <v>60373.71</v>
      </c>
      <c r="F38" s="814">
        <f>LOOKUP(E38,117:117,118:118)-LOOKUP(C38,117:117,118:118)+100</f>
        <v>102</v>
      </c>
      <c r="G38" s="1093">
        <v>42338.71</v>
      </c>
      <c r="H38" s="814">
        <f>LOOKUP(G38,117:117,118:118)-LOOKUP(C38,117:117,118:118)+100</f>
        <v>101</v>
      </c>
      <c r="I38" s="877">
        <v>252403</v>
      </c>
      <c r="J38" s="814">
        <f>LOOKUP(I38,117:117,118:118)-LOOKUP(C38,117:117,118:118)+100</f>
        <v>108</v>
      </c>
      <c r="K38" s="960"/>
      <c r="L38" s="2385"/>
      <c r="M38" s="2376"/>
      <c r="N38" s="2376"/>
      <c r="O38" s="2384"/>
      <c r="P38" s="3653"/>
      <c r="Q38" s="1327" t="str">
        <f>B38</f>
        <v>宗地面积</v>
      </c>
      <c r="R38" s="1328" t="s">
        <v>70</v>
      </c>
      <c r="S38" s="1329">
        <f t="shared" si="10"/>
        <v>102</v>
      </c>
      <c r="T38" s="1328" t="s">
        <v>70</v>
      </c>
      <c r="U38" s="1329">
        <f t="shared" si="11"/>
        <v>101</v>
      </c>
      <c r="V38" s="1328" t="s">
        <v>70</v>
      </c>
      <c r="W38" s="1329">
        <f t="shared" si="12"/>
        <v>108</v>
      </c>
      <c r="X38" s="1322"/>
      <c r="Y38" s="3653"/>
      <c r="Z38" s="1330" t="str">
        <f t="shared" si="13"/>
        <v>宗地面积</v>
      </c>
      <c r="AA38" s="1331">
        <f t="shared" si="3"/>
        <v>0.98039215686274506</v>
      </c>
      <c r="AB38" s="1331">
        <f t="shared" si="4"/>
        <v>0.99009900990099009</v>
      </c>
      <c r="AC38" s="1331">
        <f t="shared" si="5"/>
        <v>0.92592592592592593</v>
      </c>
    </row>
    <row r="39" spans="1:29" ht="15">
      <c r="A39" s="819"/>
      <c r="B39" s="770" t="s">
        <v>704</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5"/>
      <c r="M39" s="2376"/>
      <c r="N39" s="2376"/>
      <c r="O39" s="2384"/>
      <c r="P39" s="3653"/>
      <c r="Q39" s="1327" t="str">
        <f t="shared" ref="Q39:Q45" si="14">B39</f>
        <v>宗地形状</v>
      </c>
      <c r="R39" s="1328" t="s">
        <v>70</v>
      </c>
      <c r="S39" s="1329">
        <f t="shared" si="10"/>
        <v>100</v>
      </c>
      <c r="T39" s="1328" t="s">
        <v>70</v>
      </c>
      <c r="U39" s="1329">
        <f t="shared" si="11"/>
        <v>100</v>
      </c>
      <c r="V39" s="1328" t="s">
        <v>70</v>
      </c>
      <c r="W39" s="1329">
        <f t="shared" si="12"/>
        <v>100</v>
      </c>
      <c r="X39" s="1322"/>
      <c r="Y39" s="3653"/>
      <c r="Z39" s="1330" t="str">
        <f t="shared" si="13"/>
        <v>宗地形状</v>
      </c>
      <c r="AA39" s="1331">
        <f t="shared" si="3"/>
        <v>1</v>
      </c>
      <c r="AB39" s="1331">
        <f t="shared" si="4"/>
        <v>1</v>
      </c>
      <c r="AC39" s="1331">
        <f t="shared" si="5"/>
        <v>1</v>
      </c>
    </row>
    <row r="40" spans="1:29" ht="15" hidden="1">
      <c r="A40" s="819"/>
      <c r="B40" s="770" t="s">
        <v>705</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5"/>
      <c r="M40" s="2376"/>
      <c r="N40" s="2376"/>
      <c r="O40" s="2384"/>
      <c r="P40" s="3653"/>
      <c r="Q40" s="1327" t="str">
        <f t="shared" si="14"/>
        <v>临街宽度及深度</v>
      </c>
      <c r="R40" s="1328" t="s">
        <v>70</v>
      </c>
      <c r="S40" s="1329">
        <f t="shared" si="10"/>
        <v>100</v>
      </c>
      <c r="T40" s="1328" t="s">
        <v>70</v>
      </c>
      <c r="U40" s="1329">
        <f t="shared" si="11"/>
        <v>100</v>
      </c>
      <c r="V40" s="1328" t="s">
        <v>70</v>
      </c>
      <c r="W40" s="1329">
        <f t="shared" si="12"/>
        <v>100</v>
      </c>
      <c r="X40" s="1322"/>
      <c r="Y40" s="3653"/>
      <c r="Z40" s="1330" t="str">
        <f t="shared" si="13"/>
        <v>临街宽度及深度</v>
      </c>
      <c r="AA40" s="1331">
        <f t="shared" si="3"/>
        <v>1</v>
      </c>
      <c r="AB40" s="1331">
        <f t="shared" si="4"/>
        <v>1</v>
      </c>
      <c r="AC40" s="1331">
        <f t="shared" si="5"/>
        <v>1</v>
      </c>
    </row>
    <row r="41" spans="1:29" s="412" customFormat="1" ht="15">
      <c r="A41" s="820"/>
      <c r="B41" s="2645" t="s">
        <v>2898</v>
      </c>
      <c r="C41" s="3315" t="s">
        <v>2171</v>
      </c>
      <c r="D41" s="430">
        <v>100</v>
      </c>
      <c r="E41" s="1047" t="s">
        <v>2171</v>
      </c>
      <c r="F41" s="783">
        <f>SUMIF(123:123,E41,124:124)-SUMIF(123:123,C41,124:124)+100</f>
        <v>100</v>
      </c>
      <c r="G41" s="1047" t="s">
        <v>2171</v>
      </c>
      <c r="H41" s="783">
        <f>SUMIF(123:123,G41,124:124)-SUMIF(123:123,C41,124:124)+100</f>
        <v>100</v>
      </c>
      <c r="I41" s="1047" t="s">
        <v>2171</v>
      </c>
      <c r="J41" s="783">
        <f>SUMIF(123:123,I41,124:124)-SUMIF(123:123,C41,124:124)+100</f>
        <v>100</v>
      </c>
      <c r="K41" s="959">
        <v>1</v>
      </c>
      <c r="L41" s="2377"/>
      <c r="M41" s="2378"/>
      <c r="N41" s="2378"/>
      <c r="O41" s="2379"/>
      <c r="P41" s="3653"/>
      <c r="Q41" s="1327" t="str">
        <f t="shared" si="14"/>
        <v>宗地开发程度</v>
      </c>
      <c r="R41" s="1323" t="s">
        <v>70</v>
      </c>
      <c r="S41" s="1324">
        <f t="shared" si="10"/>
        <v>100</v>
      </c>
      <c r="T41" s="1323" t="s">
        <v>70</v>
      </c>
      <c r="U41" s="1324">
        <f t="shared" si="11"/>
        <v>100</v>
      </c>
      <c r="V41" s="1323" t="s">
        <v>70</v>
      </c>
      <c r="W41" s="1324">
        <f t="shared" si="12"/>
        <v>100</v>
      </c>
      <c r="X41" s="1325"/>
      <c r="Y41" s="3653"/>
      <c r="Z41" s="350" t="str">
        <f t="shared" si="13"/>
        <v>宗地开发程度</v>
      </c>
      <c r="AA41" s="1326">
        <f t="shared" si="3"/>
        <v>1</v>
      </c>
      <c r="AB41" s="1326">
        <f t="shared" si="4"/>
        <v>1</v>
      </c>
      <c r="AC41" s="1326">
        <f t="shared" si="5"/>
        <v>1</v>
      </c>
    </row>
    <row r="42" spans="1:29" ht="15">
      <c r="A42" s="819"/>
      <c r="B42" s="770" t="s">
        <v>706</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5"/>
      <c r="M42" s="2376"/>
      <c r="N42" s="2376"/>
      <c r="O42" s="2384"/>
      <c r="P42" s="3653" t="s">
        <v>582</v>
      </c>
      <c r="Q42" s="1327" t="str">
        <f t="shared" si="14"/>
        <v>工程地质条件</v>
      </c>
      <c r="R42" s="1328" t="s">
        <v>70</v>
      </c>
      <c r="S42" s="1329">
        <f t="shared" si="10"/>
        <v>100</v>
      </c>
      <c r="T42" s="1328" t="s">
        <v>70</v>
      </c>
      <c r="U42" s="1329">
        <f t="shared" si="11"/>
        <v>100</v>
      </c>
      <c r="V42" s="1328" t="s">
        <v>70</v>
      </c>
      <c r="W42" s="1329">
        <f t="shared" si="12"/>
        <v>100</v>
      </c>
      <c r="X42" s="1322"/>
      <c r="Y42" s="3653" t="s">
        <v>582</v>
      </c>
      <c r="Z42" s="1330" t="str">
        <f t="shared" si="13"/>
        <v>工程地质条件</v>
      </c>
      <c r="AA42" s="1331">
        <f t="shared" si="3"/>
        <v>1</v>
      </c>
      <c r="AB42" s="1331">
        <f t="shared" si="4"/>
        <v>1</v>
      </c>
      <c r="AC42" s="1331">
        <f t="shared" si="5"/>
        <v>1</v>
      </c>
    </row>
    <row r="43" spans="1:29" ht="15.75" thickBot="1">
      <c r="A43" s="819"/>
      <c r="B43" s="206" t="s">
        <v>3525</v>
      </c>
      <c r="C43" s="203" t="s">
        <v>3526</v>
      </c>
      <c r="D43" s="783">
        <v>100</v>
      </c>
      <c r="E43" s="203" t="s">
        <v>3583</v>
      </c>
      <c r="F43" s="783">
        <f>SUMIF(127:127,E43,128:128)-SUMIF(127:127,C43,128:128)+100</f>
        <v>95</v>
      </c>
      <c r="G43" s="203" t="s">
        <v>3527</v>
      </c>
      <c r="H43" s="783">
        <f>SUMIF(127:127,G43,128:128)-SUMIF(127:127,C43,128:128)+100</f>
        <v>105</v>
      </c>
      <c r="I43" s="203" t="s">
        <v>3527</v>
      </c>
      <c r="J43" s="783">
        <f>SUMIF(127:127,I43,128:128)-SUMIF(127:127,C43,128:128)+100</f>
        <v>105</v>
      </c>
      <c r="K43" s="960"/>
      <c r="L43" s="2385"/>
      <c r="M43" s="2376"/>
      <c r="N43" s="2376"/>
      <c r="O43" s="2384"/>
      <c r="P43" s="3653"/>
      <c r="Q43" s="1327" t="str">
        <f t="shared" si="14"/>
        <v>居住品质</v>
      </c>
      <c r="R43" s="1328" t="s">
        <v>70</v>
      </c>
      <c r="S43" s="1329">
        <f t="shared" si="10"/>
        <v>95</v>
      </c>
      <c r="T43" s="1328" t="s">
        <v>70</v>
      </c>
      <c r="U43" s="1329">
        <f t="shared" si="11"/>
        <v>105</v>
      </c>
      <c r="V43" s="1328" t="s">
        <v>70</v>
      </c>
      <c r="W43" s="1329">
        <f t="shared" si="12"/>
        <v>105</v>
      </c>
      <c r="X43" s="1322"/>
      <c r="Y43" s="3653"/>
      <c r="Z43" s="1330" t="str">
        <f t="shared" si="13"/>
        <v>居住品质</v>
      </c>
      <c r="AA43" s="1331">
        <f t="shared" si="3"/>
        <v>1.0526315789473684</v>
      </c>
      <c r="AB43" s="1331">
        <f t="shared" si="4"/>
        <v>0.95238095238095233</v>
      </c>
      <c r="AC43" s="1331">
        <f t="shared" si="5"/>
        <v>0.95238095238095233</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5"/>
      <c r="M44" s="2376"/>
      <c r="N44" s="2376"/>
      <c r="O44" s="2384"/>
      <c r="P44" s="3653"/>
      <c r="Q44" s="1327">
        <f t="shared" si="14"/>
        <v>111</v>
      </c>
      <c r="R44" s="1328" t="s">
        <v>70</v>
      </c>
      <c r="S44" s="1329">
        <f t="shared" si="10"/>
        <v>100</v>
      </c>
      <c r="T44" s="1328" t="s">
        <v>70</v>
      </c>
      <c r="U44" s="1329">
        <f t="shared" si="11"/>
        <v>100</v>
      </c>
      <c r="V44" s="1328" t="s">
        <v>70</v>
      </c>
      <c r="W44" s="1329">
        <f t="shared" si="12"/>
        <v>100</v>
      </c>
      <c r="X44" s="1322"/>
      <c r="Y44" s="3653"/>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3"/>
      <c r="M45" s="2386"/>
      <c r="N45" s="2386"/>
      <c r="O45" s="2387"/>
      <c r="P45" s="3653"/>
      <c r="Q45" s="1327">
        <f t="shared" si="14"/>
        <v>111</v>
      </c>
      <c r="R45" s="1333" t="s">
        <v>70</v>
      </c>
      <c r="S45" s="1334">
        <f t="shared" si="10"/>
        <v>100</v>
      </c>
      <c r="T45" s="1333" t="s">
        <v>70</v>
      </c>
      <c r="U45" s="1334">
        <f t="shared" si="11"/>
        <v>100</v>
      </c>
      <c r="V45" s="1333" t="s">
        <v>70</v>
      </c>
      <c r="W45" s="1334">
        <f t="shared" si="12"/>
        <v>100</v>
      </c>
      <c r="X45" s="1335"/>
      <c r="Y45" s="3653"/>
      <c r="Z45" s="1336">
        <f t="shared" si="13"/>
        <v>111</v>
      </c>
      <c r="AA45" s="1331">
        <f t="shared" si="3"/>
        <v>1</v>
      </c>
      <c r="AB45" s="1331">
        <f t="shared" si="4"/>
        <v>1</v>
      </c>
      <c r="AC45" s="1331">
        <f t="shared" si="5"/>
        <v>1</v>
      </c>
    </row>
    <row r="46" spans="1:29" ht="15">
      <c r="A46" s="826" t="s">
        <v>707</v>
      </c>
      <c r="B46" s="207" t="s">
        <v>265</v>
      </c>
      <c r="C46" s="1096" t="s">
        <v>23</v>
      </c>
      <c r="D46" s="828"/>
      <c r="E46" s="829">
        <f>7215+170</f>
        <v>7385</v>
      </c>
      <c r="F46" s="830"/>
      <c r="G46" s="831">
        <v>9108</v>
      </c>
      <c r="H46" s="832"/>
      <c r="I46" s="829">
        <v>9005</v>
      </c>
      <c r="J46" s="832"/>
      <c r="K46" s="1404"/>
      <c r="L46" s="2388"/>
      <c r="M46" s="2389"/>
      <c r="N46" s="2376"/>
      <c r="O46" s="2389"/>
      <c r="P46" s="3635" t="str">
        <f>A46</f>
        <v>成交单价</v>
      </c>
      <c r="Q46" s="3635"/>
      <c r="R46" s="3648">
        <f>E46</f>
        <v>7385</v>
      </c>
      <c r="S46" s="3648"/>
      <c r="T46" s="3648">
        <f>G46</f>
        <v>9108</v>
      </c>
      <c r="U46" s="3648"/>
      <c r="V46" s="3648">
        <f>I46</f>
        <v>9005</v>
      </c>
      <c r="W46" s="3648"/>
      <c r="X46" s="1311"/>
      <c r="Y46" s="1337"/>
      <c r="Z46" s="1311"/>
      <c r="AA46" s="1311"/>
      <c r="AB46" s="1311"/>
      <c r="AC46" s="1311"/>
    </row>
    <row r="47" spans="1:29" ht="15.75" thickBot="1">
      <c r="A47" s="833" t="s">
        <v>584</v>
      </c>
      <c r="B47" s="1097"/>
      <c r="C47" s="837">
        <f>R48</f>
        <v>9128</v>
      </c>
      <c r="D47" s="836"/>
      <c r="E47" s="837">
        <f>R47</f>
        <v>8554</v>
      </c>
      <c r="F47" s="838"/>
      <c r="G47" s="835">
        <f>T47</f>
        <v>9545</v>
      </c>
      <c r="H47" s="836"/>
      <c r="I47" s="837">
        <f>V47</f>
        <v>9284</v>
      </c>
      <c r="J47" s="836"/>
      <c r="K47" s="1405"/>
      <c r="L47" s="2388"/>
      <c r="M47" s="2389"/>
      <c r="N47" s="2389"/>
      <c r="O47" s="2389"/>
      <c r="P47" s="3635" t="str">
        <f>A47</f>
        <v>比较价值（元/平方米）</v>
      </c>
      <c r="Q47" s="3635"/>
      <c r="R47" s="3654">
        <f>ROUND(PRODUCT(R46,AA7:AA45),0)</f>
        <v>8554</v>
      </c>
      <c r="S47" s="3654"/>
      <c r="T47" s="3654">
        <f>ROUND(PRODUCT(T46,AB7:AB45),0)</f>
        <v>9545</v>
      </c>
      <c r="U47" s="3654"/>
      <c r="V47" s="3654">
        <f>ROUND(PRODUCT(V46,AC7:AC45),0)</f>
        <v>9284</v>
      </c>
      <c r="W47" s="3654"/>
      <c r="X47" s="1311"/>
      <c r="Y47" s="1311"/>
      <c r="Z47" s="1311"/>
      <c r="AA47" s="1311"/>
      <c r="AB47" s="1311"/>
      <c r="AC47" s="1311"/>
    </row>
    <row r="48" spans="1:29" ht="15.75" thickBot="1">
      <c r="A48" s="115" t="s">
        <v>736</v>
      </c>
      <c r="B48" s="840"/>
      <c r="C48" s="841">
        <f>R48</f>
        <v>9128</v>
      </c>
      <c r="D48" s="841"/>
      <c r="E48" s="841"/>
      <c r="F48" s="841"/>
      <c r="G48" s="841"/>
      <c r="H48" s="841"/>
      <c r="I48" s="841"/>
      <c r="J48" s="841"/>
      <c r="K48" s="1406"/>
      <c r="L48" s="2388"/>
      <c r="M48" s="2389"/>
      <c r="N48" s="2389"/>
      <c r="O48" s="2389"/>
      <c r="P48" s="3655" t="str">
        <f>A48</f>
        <v>估价对象XX用房的比较价值（楼面单价，元/平方米）</v>
      </c>
      <c r="Q48" s="3656"/>
      <c r="R48" s="3657">
        <f>ROUND(AVERAGE(R47:V47),0)</f>
        <v>9128</v>
      </c>
      <c r="S48" s="3657"/>
      <c r="T48" s="3657"/>
      <c r="U48" s="3657"/>
      <c r="V48" s="3657"/>
      <c r="W48" s="3657"/>
      <c r="X48" s="1311"/>
      <c r="Y48" s="1311"/>
      <c r="Z48" s="1311"/>
      <c r="AA48" s="1311"/>
      <c r="AB48" s="1311"/>
      <c r="AC48" s="1311"/>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4" t="s">
        <v>586</v>
      </c>
      <c r="D51" s="845"/>
      <c r="E51" s="846">
        <f>IF(E46&lt;E47,E47/E46-1,E46/E47-1)</f>
        <v>0.15829383886255921</v>
      </c>
      <c r="F51" s="847" t="str">
        <f>IF(OR(E51&gt;=0.3,E51&lt;=-0.3),"超过30%","")</f>
        <v/>
      </c>
      <c r="G51" s="846">
        <f>IF(G46&lt;G47,G47/G46-1,G46/G47-1)</f>
        <v>4.7979797979798011E-2</v>
      </c>
      <c r="H51" s="847" t="str">
        <f>IF(OR(G51&gt;=0.3,G51&lt;=-0.3),"超过30%","")</f>
        <v/>
      </c>
      <c r="I51" s="846">
        <f>IF(I46&lt;I47,I47/I46-1,I46/I47-1)</f>
        <v>3.0982787340366524E-2</v>
      </c>
      <c r="J51" s="847" t="str">
        <f>IF(OR(I51&gt;=0.3,I51&lt;=-0.3),"超过30%","")</f>
        <v/>
      </c>
      <c r="K51" s="2211"/>
      <c r="L51" s="2212"/>
      <c r="M51" s="2389"/>
      <c r="N51" s="2389"/>
      <c r="O51" s="2389"/>
    </row>
    <row r="52" spans="1:15" ht="13.5" customHeight="1">
      <c r="A52" s="2389"/>
      <c r="B52" s="2389"/>
      <c r="C52" s="844" t="s">
        <v>587</v>
      </c>
      <c r="D52" s="848"/>
      <c r="E52" s="846">
        <f>IF(E47&lt;G47,G47/E47-1,E47/G47-1)</f>
        <v>0.11585223287350943</v>
      </c>
      <c r="F52" s="847" t="str">
        <f>IF(OR(E52&gt;=0.2,E52&lt;=-0.2),"超过20%","")</f>
        <v/>
      </c>
      <c r="G52" s="846">
        <f>IF(G47&lt;I47,I47/G47-1,G47/I47-1)</f>
        <v>2.8112882378285242E-2</v>
      </c>
      <c r="H52" s="847" t="str">
        <f>IF(OR(G52&gt;=0.2,G52&lt;=-0.2),"超过20%","")</f>
        <v/>
      </c>
      <c r="I52" s="846">
        <f>IF(I47&lt;E47,E47/I47-1,I47/E47-1)</f>
        <v>8.5340191723170422E-2</v>
      </c>
      <c r="J52" s="847" t="str">
        <f>IF(OR(I52&gt;=0.2,I52&lt;=-0.2),"超过20%","")</f>
        <v/>
      </c>
      <c r="K52" s="2211"/>
      <c r="L52" s="2212"/>
      <c r="M52" s="2389"/>
      <c r="N52" s="2389"/>
      <c r="O52" s="2389"/>
    </row>
    <row r="53" spans="1:15" s="849" customFormat="1" ht="13.5" customHeight="1">
      <c r="A53" s="2390"/>
      <c r="B53" s="2390"/>
      <c r="C53" s="844" t="s">
        <v>588</v>
      </c>
      <c r="D53" s="848"/>
      <c r="E53" s="846">
        <f>IF(E46&lt;G46,G46/E46-1,E46/G46-1)</f>
        <v>0.23331076506431958</v>
      </c>
      <c r="F53" s="847" t="str">
        <f>IF(OR(E53&gt;=0.3,E53&lt;=-0.3),"超过30%","")</f>
        <v/>
      </c>
      <c r="G53" s="846">
        <f>IF(G46&lt;I46,I46/G46-1,G46/I46-1)</f>
        <v>1.1438089950027708E-2</v>
      </c>
      <c r="H53" s="847" t="str">
        <f>IF(OR(G53&gt;=0.3,G53&lt;=-0.3),"超过30%","")</f>
        <v/>
      </c>
      <c r="I53" s="846">
        <f>IF(I46&lt;E46,E46/I46-1,I46/E46-1)</f>
        <v>0.21936357481381186</v>
      </c>
      <c r="J53" s="847" t="str">
        <f>IF(OR(I53&gt;=0.3,I53&lt;=-0.3),"超过30%","")</f>
        <v/>
      </c>
      <c r="K53" s="2393"/>
      <c r="L53" s="2394"/>
      <c r="M53" s="2390"/>
      <c r="N53" s="2390"/>
      <c r="O53" s="2390"/>
    </row>
    <row r="54" spans="1:15" s="849" customFormat="1" ht="15" thickBot="1">
      <c r="A54" s="2390"/>
      <c r="B54" s="2391"/>
      <c r="C54" s="1314"/>
      <c r="D54" s="1312"/>
      <c r="E54" s="1312"/>
      <c r="F54" s="1312"/>
      <c r="G54" s="1312"/>
      <c r="H54" s="1312"/>
      <c r="I54" s="1312"/>
      <c r="J54" s="1312"/>
      <c r="K54" s="2393"/>
      <c r="L54" s="2394"/>
      <c r="M54" s="2390"/>
      <c r="N54" s="2390"/>
      <c r="O54" s="2390"/>
    </row>
    <row r="55" spans="1:15" ht="27" customHeight="1">
      <c r="A55" s="1098" t="s">
        <v>708</v>
      </c>
      <c r="B55" s="1099" t="s">
        <v>709</v>
      </c>
      <c r="C55" s="1799" t="s">
        <v>3442</v>
      </c>
      <c r="D55" s="2420" t="s">
        <v>2693</v>
      </c>
      <c r="E55" s="1100" t="s">
        <v>710</v>
      </c>
      <c r="F55" s="2213" t="s">
        <v>711</v>
      </c>
      <c r="G55" s="3658" t="s">
        <v>2686</v>
      </c>
      <c r="H55" s="3659"/>
      <c r="I55" s="2214" t="s">
        <v>2239</v>
      </c>
      <c r="J55" s="2218" t="str">
        <f>项目基本情况!F35</f>
        <v>河南省郑州市</v>
      </c>
      <c r="K55" s="2403" t="s">
        <v>2241</v>
      </c>
      <c r="L55" s="2212"/>
      <c r="M55" s="2389"/>
      <c r="N55" s="2389"/>
      <c r="O55" s="2389"/>
    </row>
    <row r="56" spans="1:15" s="1106" customFormat="1">
      <c r="A56" s="1102" t="s">
        <v>712</v>
      </c>
      <c r="B56" s="1103">
        <f>C48</f>
        <v>9128</v>
      </c>
      <c r="C56" s="1104">
        <v>1</v>
      </c>
      <c r="D56" s="2421">
        <v>1</v>
      </c>
      <c r="E56" s="1104">
        <f>'数据-汇总表'!E8+'数据-汇总表'!E9</f>
        <v>144992.93</v>
      </c>
      <c r="F56" s="2209">
        <f t="shared" ref="F56:F65" si="15">ROUND(B56*E56/10000,0)</f>
        <v>132350</v>
      </c>
      <c r="G56" s="3660"/>
      <c r="H56" s="3661"/>
      <c r="I56" s="2215">
        <v>1</v>
      </c>
      <c r="J56" s="2219">
        <v>1</v>
      </c>
      <c r="K56" s="2390"/>
      <c r="L56" s="1796"/>
      <c r="M56" s="1796"/>
      <c r="N56" s="1796"/>
      <c r="O56" s="1796"/>
    </row>
    <row r="57" spans="1:15" s="1106" customFormat="1">
      <c r="A57" s="1107" t="s">
        <v>713</v>
      </c>
      <c r="B57" s="598">
        <f>ROUND($C$48*C57*D57,0)</f>
        <v>0</v>
      </c>
      <c r="C57" s="536">
        <f t="shared" ref="C57:C65" si="16">IF($C$55="北京市系数",I57,J57)</f>
        <v>0</v>
      </c>
      <c r="D57" s="3308">
        <v>0.25</v>
      </c>
      <c r="E57" s="3307">
        <f>'数据-汇总表'!G22</f>
        <v>0</v>
      </c>
      <c r="F57" s="2209">
        <f t="shared" si="15"/>
        <v>0</v>
      </c>
      <c r="G57" s="3662" t="s">
        <v>2687</v>
      </c>
      <c r="H57" s="2210" t="str">
        <f>项目基本情况!B37</f>
        <v>八级</v>
      </c>
      <c r="I57" s="2215">
        <f>SUMIF(修正!A45:A56,H57,修正!B45:B56)</f>
        <v>0.6</v>
      </c>
      <c r="J57" s="2220"/>
      <c r="K57" s="2389"/>
      <c r="L57" s="1796"/>
      <c r="M57" s="1796"/>
      <c r="N57" s="1796"/>
      <c r="O57" s="1796"/>
    </row>
    <row r="58" spans="1:15" s="1106" customFormat="1">
      <c r="A58" s="1107" t="s">
        <v>714</v>
      </c>
      <c r="B58" s="598">
        <f t="shared" ref="B58:B65" si="17">ROUND($C$48*C58*D58,0)</f>
        <v>0</v>
      </c>
      <c r="C58" s="536">
        <f t="shared" si="16"/>
        <v>0</v>
      </c>
      <c r="D58" s="2422">
        <v>0.25</v>
      </c>
      <c r="E58" s="1108">
        <v>0</v>
      </c>
      <c r="F58" s="2209">
        <f t="shared" si="15"/>
        <v>0</v>
      </c>
      <c r="G58" s="3662"/>
      <c r="H58" s="2210" t="str">
        <f>项目基本情况!B37</f>
        <v>八级</v>
      </c>
      <c r="I58" s="2215">
        <f>SUMIF(修正!A45:A56,H58,修正!C45:C56)</f>
        <v>0.3</v>
      </c>
      <c r="J58" s="2220"/>
      <c r="K58" s="2390"/>
      <c r="L58" s="1796"/>
      <c r="M58" s="1796"/>
      <c r="N58" s="1796"/>
      <c r="O58" s="1796"/>
    </row>
    <row r="59" spans="1:15" s="1106" customFormat="1">
      <c r="A59" s="1107" t="s">
        <v>715</v>
      </c>
      <c r="B59" s="598">
        <f t="shared" si="17"/>
        <v>0</v>
      </c>
      <c r="C59" s="536">
        <f t="shared" si="16"/>
        <v>0</v>
      </c>
      <c r="D59" s="2422">
        <v>0.25</v>
      </c>
      <c r="E59" s="1108">
        <v>0</v>
      </c>
      <c r="F59" s="2209">
        <f t="shared" si="15"/>
        <v>0</v>
      </c>
      <c r="G59" s="3662"/>
      <c r="H59" s="2210" t="str">
        <f>项目基本情况!B37</f>
        <v>八级</v>
      </c>
      <c r="I59" s="2215">
        <f>SUMIF(修正!A45:A56,H59,修正!D45:D56)</f>
        <v>0.2</v>
      </c>
      <c r="J59" s="2220"/>
      <c r="K59" s="2389"/>
      <c r="L59" s="1796"/>
      <c r="M59" s="1796"/>
      <c r="N59" s="1796"/>
      <c r="O59" s="1796"/>
    </row>
    <row r="60" spans="1:15" s="1106" customFormat="1">
      <c r="A60" s="1107" t="s">
        <v>716</v>
      </c>
      <c r="B60" s="598">
        <f t="shared" si="17"/>
        <v>0</v>
      </c>
      <c r="C60" s="536">
        <f t="shared" si="16"/>
        <v>0</v>
      </c>
      <c r="D60" s="2422">
        <v>0.25</v>
      </c>
      <c r="E60" s="1108">
        <v>0</v>
      </c>
      <c r="F60" s="2209">
        <f t="shared" si="15"/>
        <v>0</v>
      </c>
      <c r="G60" s="3662"/>
      <c r="H60" s="2210" t="str">
        <f>项目基本情况!B37</f>
        <v>八级</v>
      </c>
      <c r="I60" s="2215">
        <f>SUMIF(修正!A45:A56,H60,修正!E45:E56)</f>
        <v>0.2</v>
      </c>
      <c r="J60" s="2220"/>
      <c r="K60" s="2390"/>
      <c r="L60" s="1796"/>
      <c r="M60" s="1796"/>
      <c r="N60" s="1796"/>
      <c r="O60" s="1796"/>
    </row>
    <row r="61" spans="1:15" s="1106" customFormat="1">
      <c r="A61" s="2543" t="s">
        <v>2775</v>
      </c>
      <c r="B61" s="598">
        <f t="shared" si="17"/>
        <v>0</v>
      </c>
      <c r="C61" s="536">
        <f t="shared" si="16"/>
        <v>0</v>
      </c>
      <c r="D61" s="2422">
        <v>0.25</v>
      </c>
      <c r="E61" s="597">
        <f>'数据-汇总表'!E11</f>
        <v>0</v>
      </c>
      <c r="F61" s="2209">
        <f t="shared" si="15"/>
        <v>0</v>
      </c>
      <c r="G61" s="2222" t="s">
        <v>2688</v>
      </c>
      <c r="H61" s="2210" t="str">
        <f>项目基本情况!C37</f>
        <v>八级</v>
      </c>
      <c r="I61" s="2215">
        <f>SUMIF(修正!A45:A56,H61,修正!F45:F56)</f>
        <v>0.2</v>
      </c>
      <c r="J61" s="2220"/>
      <c r="K61" s="2389"/>
      <c r="L61" s="1796"/>
      <c r="M61" s="1796"/>
      <c r="N61" s="1796"/>
      <c r="O61" s="1796"/>
    </row>
    <row r="62" spans="1:15" s="1106" customFormat="1">
      <c r="A62" s="1107" t="s">
        <v>717</v>
      </c>
      <c r="B62" s="598">
        <f t="shared" si="17"/>
        <v>0</v>
      </c>
      <c r="C62" s="536">
        <f t="shared" si="16"/>
        <v>0</v>
      </c>
      <c r="D62" s="2422">
        <v>0.25</v>
      </c>
      <c r="E62" s="597">
        <f>'数据-汇总表'!E12</f>
        <v>0</v>
      </c>
      <c r="F62" s="2209">
        <f t="shared" si="15"/>
        <v>0</v>
      </c>
      <c r="G62" s="2216" t="s">
        <v>209</v>
      </c>
      <c r="H62" s="2210" t="str">
        <f>IF(G62="商业",项目基本情况!B37,IF(G62="办公",项目基本情况!C37,IF(G62="住宅",项目基本情况!D37,项目基本情况!E37)))</f>
        <v>八级</v>
      </c>
      <c r="I62" s="2215">
        <f>SUMIF(修正!A45:A56,H62,修正!G45:G56)</f>
        <v>0.2</v>
      </c>
      <c r="J62" s="2220"/>
      <c r="K62" s="2390"/>
      <c r="L62" s="1796"/>
      <c r="M62" s="1796"/>
      <c r="N62" s="1796"/>
      <c r="O62" s="1796"/>
    </row>
    <row r="63" spans="1:15" s="1106" customFormat="1">
      <c r="A63" s="1107" t="s">
        <v>718</v>
      </c>
      <c r="B63" s="598">
        <f t="shared" si="17"/>
        <v>0</v>
      </c>
      <c r="C63" s="536">
        <f t="shared" si="16"/>
        <v>0</v>
      </c>
      <c r="D63" s="2422">
        <v>0.25</v>
      </c>
      <c r="E63" s="597">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6"/>
      <c r="M63" s="1796"/>
      <c r="N63" s="1796"/>
      <c r="O63" s="1796"/>
    </row>
    <row r="64" spans="1:15" s="1106" customFormat="1">
      <c r="A64" s="1107" t="s">
        <v>719</v>
      </c>
      <c r="B64" s="598">
        <f t="shared" si="17"/>
        <v>0</v>
      </c>
      <c r="C64" s="536">
        <f t="shared" si="16"/>
        <v>0</v>
      </c>
      <c r="D64" s="2422">
        <v>0.25</v>
      </c>
      <c r="E64" s="597">
        <f>'数据-汇总表'!E14</f>
        <v>0</v>
      </c>
      <c r="F64" s="2209">
        <f t="shared" si="15"/>
        <v>0</v>
      </c>
      <c r="G64" s="2222" t="s">
        <v>2689</v>
      </c>
      <c r="H64" s="2210" t="str">
        <f>项目基本情况!B37</f>
        <v>八级</v>
      </c>
      <c r="I64" s="2215">
        <f>SUMIF(修正!A45:A56,H64,修正!H45:H56)</f>
        <v>0.15</v>
      </c>
      <c r="J64" s="2220"/>
      <c r="K64" s="2390"/>
      <c r="L64" s="1796"/>
      <c r="M64" s="1796"/>
      <c r="N64" s="1796"/>
      <c r="O64" s="1796"/>
    </row>
    <row r="65" spans="1:17" s="1106" customFormat="1" ht="15" thickBot="1">
      <c r="A65" s="1107" t="s">
        <v>720</v>
      </c>
      <c r="B65" s="598">
        <f t="shared" si="17"/>
        <v>0</v>
      </c>
      <c r="C65" s="536">
        <f t="shared" si="16"/>
        <v>0</v>
      </c>
      <c r="D65" s="2422">
        <v>0.25</v>
      </c>
      <c r="E65" s="597">
        <f>'数据-汇总表'!E15</f>
        <v>0</v>
      </c>
      <c r="F65" s="2209">
        <f t="shared" si="15"/>
        <v>0</v>
      </c>
      <c r="G65" s="2223" t="s">
        <v>2688</v>
      </c>
      <c r="H65" s="2224" t="str">
        <f>项目基本情况!C37</f>
        <v>八级</v>
      </c>
      <c r="I65" s="2217">
        <f>SUMIF(修正!A45:A56,H65,修正!H45:H56)</f>
        <v>0.15</v>
      </c>
      <c r="J65" s="2221"/>
      <c r="K65" s="2389"/>
      <c r="L65" s="1796"/>
      <c r="M65" s="1796"/>
      <c r="N65" s="1796"/>
      <c r="O65" s="1796"/>
    </row>
    <row r="66" spans="1:17" s="1106" customFormat="1" ht="13.5" thickBot="1">
      <c r="A66" s="1109" t="s">
        <v>721</v>
      </c>
      <c r="B66" s="1110" t="s">
        <v>262</v>
      </c>
      <c r="C66" s="1110" t="s">
        <v>263</v>
      </c>
      <c r="D66" s="1110" t="s">
        <v>2694</v>
      </c>
      <c r="E66" s="1110">
        <f>IF(B46="楼面地价",SUM(E56:E65),'数据-汇总表'!D3)</f>
        <v>144992.93</v>
      </c>
      <c r="F66" s="1111">
        <f>IF(B46="楼面地价",SUM(F56:F65),ROUND(C48*E66/10000,0))</f>
        <v>132350</v>
      </c>
      <c r="G66" s="1419"/>
      <c r="H66" s="1419"/>
      <c r="I66" s="1419"/>
      <c r="J66" s="1419"/>
      <c r="K66" s="2404"/>
      <c r="L66" s="1796"/>
      <c r="M66" s="1796"/>
      <c r="N66" s="1796"/>
      <c r="O66" s="1796"/>
    </row>
    <row r="67" spans="1:17">
      <c r="A67" s="1311"/>
      <c r="B67" s="1313"/>
      <c r="C67" s="1314"/>
      <c r="D67" s="1311"/>
      <c r="E67" s="1311"/>
      <c r="F67" s="1311"/>
      <c r="G67" s="1311"/>
      <c r="H67" s="1311"/>
      <c r="I67" s="1311"/>
      <c r="J67" s="2389"/>
      <c r="K67" s="2211"/>
      <c r="L67" s="2212"/>
      <c r="M67" s="2389"/>
      <c r="N67" s="2389"/>
      <c r="O67" s="2389"/>
    </row>
    <row r="68" spans="1:17">
      <c r="A68" s="1311"/>
      <c r="B68" s="1313"/>
      <c r="C68" s="1313" t="str">
        <f>YEAR(C7)&amp;"-"&amp;MONTH(C7)&amp;"-1"</f>
        <v>2017-8-1</v>
      </c>
      <c r="D68" s="1313">
        <f>EDATE(C68,-3)</f>
        <v>42856</v>
      </c>
      <c r="E68" s="1313">
        <f>EDATE(D68,-3)</f>
        <v>42767</v>
      </c>
      <c r="F68" s="1313">
        <f t="shared" ref="F68:O68" si="18">EDATE(E68,-3)</f>
        <v>42675</v>
      </c>
      <c r="G68" s="1313">
        <f t="shared" si="18"/>
        <v>42583</v>
      </c>
      <c r="H68" s="1313">
        <f t="shared" si="18"/>
        <v>42491</v>
      </c>
      <c r="I68" s="1313">
        <f t="shared" si="18"/>
        <v>42401</v>
      </c>
      <c r="J68" s="1313">
        <f t="shared" si="18"/>
        <v>42309</v>
      </c>
      <c r="K68" s="1313">
        <f t="shared" si="18"/>
        <v>42217</v>
      </c>
      <c r="L68" s="1313">
        <f t="shared" si="18"/>
        <v>42125</v>
      </c>
      <c r="M68" s="1313">
        <f t="shared" si="18"/>
        <v>42036</v>
      </c>
      <c r="N68" s="1313">
        <f t="shared" si="18"/>
        <v>41944</v>
      </c>
      <c r="O68" s="1313">
        <f t="shared" si="18"/>
        <v>41852</v>
      </c>
    </row>
    <row r="69" spans="1:17" ht="21.75" thickBot="1">
      <c r="A69" s="1315" t="s">
        <v>589</v>
      </c>
      <c r="B69" s="1311"/>
      <c r="C69" s="1316"/>
      <c r="D69" s="1316"/>
      <c r="E69" s="1316"/>
      <c r="F69" s="1317"/>
      <c r="G69" s="1317"/>
      <c r="H69" s="1316"/>
      <c r="I69" s="1316"/>
      <c r="J69" s="2405"/>
      <c r="K69" s="2406"/>
      <c r="L69" s="2407"/>
      <c r="M69" s="2405"/>
      <c r="N69" s="2405"/>
      <c r="O69" s="2405"/>
      <c r="P69" s="850"/>
      <c r="Q69" s="851"/>
    </row>
    <row r="70" spans="1:17" s="855" customFormat="1" ht="15">
      <c r="A70" s="2742" t="s">
        <v>3196</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4"/>
    </row>
    <row r="71" spans="1:17" s="412" customFormat="1" ht="30" customHeight="1">
      <c r="A71" s="308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2">
        <v>90</v>
      </c>
      <c r="N71" s="942">
        <v>89</v>
      </c>
      <c r="O71" s="3073">
        <v>90</v>
      </c>
      <c r="P71" s="851"/>
    </row>
    <row r="72" spans="1:17" s="412" customFormat="1" ht="15.75" thickBot="1">
      <c r="A72" s="862" t="s">
        <v>590</v>
      </c>
      <c r="B72" s="863"/>
      <c r="C72" s="864"/>
      <c r="D72" s="865"/>
      <c r="E72" s="865"/>
      <c r="F72" s="865"/>
      <c r="G72" s="865"/>
      <c r="H72" s="865"/>
      <c r="I72" s="865"/>
      <c r="J72" s="865"/>
      <c r="K72" s="865"/>
      <c r="L72" s="865"/>
      <c r="M72" s="866"/>
      <c r="N72" s="865"/>
      <c r="O72" s="2408"/>
      <c r="P72" s="851"/>
      <c r="Q72" s="851"/>
    </row>
    <row r="73" spans="1:17" s="412" customFormat="1" ht="15">
      <c r="A73" s="868" t="s">
        <v>570</v>
      </c>
      <c r="B73" s="857"/>
      <c r="C73" s="869" t="s">
        <v>591</v>
      </c>
      <c r="D73" s="140" t="s">
        <v>1459</v>
      </c>
      <c r="E73" s="140"/>
      <c r="F73" s="140"/>
      <c r="G73" s="140"/>
      <c r="H73" s="140"/>
      <c r="I73" s="140"/>
      <c r="J73" s="140"/>
      <c r="K73" s="140"/>
      <c r="L73" s="141"/>
      <c r="M73" s="1056"/>
      <c r="N73" s="2396"/>
      <c r="O73" s="2396"/>
      <c r="P73" s="873"/>
      <c r="Q73" s="851"/>
    </row>
    <row r="74" spans="1:17" s="412" customFormat="1" ht="15.75" thickBot="1">
      <c r="A74" s="868"/>
      <c r="B74" s="857"/>
      <c r="C74" s="986">
        <v>100</v>
      </c>
      <c r="D74" s="859">
        <v>98</v>
      </c>
      <c r="E74" s="859"/>
      <c r="F74" s="859"/>
      <c r="G74" s="859"/>
      <c r="H74" s="859"/>
      <c r="I74" s="859"/>
      <c r="J74" s="859"/>
      <c r="K74" s="859"/>
      <c r="L74" s="859"/>
      <c r="M74" s="861"/>
      <c r="N74" s="2396"/>
      <c r="O74" s="2396"/>
      <c r="P74" s="851"/>
      <c r="Q74" s="851"/>
    </row>
    <row r="75" spans="1:17">
      <c r="A75" s="874" t="s">
        <v>593</v>
      </c>
      <c r="B75" s="875" t="s">
        <v>594</v>
      </c>
      <c r="C75" s="122" t="s">
        <v>3383</v>
      </c>
      <c r="D75" s="122" t="s">
        <v>267</v>
      </c>
      <c r="E75" s="122"/>
      <c r="F75" s="122"/>
      <c r="G75" s="122"/>
      <c r="H75" s="122"/>
      <c r="I75" s="122"/>
      <c r="J75" s="122"/>
      <c r="K75" s="123"/>
      <c r="L75" s="124"/>
      <c r="M75" s="125"/>
      <c r="N75" s="2397"/>
      <c r="O75" s="2397"/>
      <c r="P75" s="340"/>
      <c r="Q75" s="851"/>
    </row>
    <row r="76" spans="1:17" ht="15.75" thickBot="1">
      <c r="A76" s="881"/>
      <c r="B76" s="882"/>
      <c r="C76" s="883">
        <v>100</v>
      </c>
      <c r="D76" s="883">
        <v>100</v>
      </c>
      <c r="E76" s="883"/>
      <c r="F76" s="883"/>
      <c r="G76" s="883"/>
      <c r="H76" s="883"/>
      <c r="I76" s="883"/>
      <c r="J76" s="883"/>
      <c r="K76" s="883"/>
      <c r="L76" s="883"/>
      <c r="M76" s="884"/>
      <c r="N76" s="2398"/>
      <c r="O76" s="2398"/>
      <c r="P76" s="340"/>
      <c r="Q76" s="851"/>
    </row>
    <row r="77" spans="1:17" ht="27.75" thickTop="1">
      <c r="A77" s="881"/>
      <c r="B77" s="885" t="s">
        <v>574</v>
      </c>
      <c r="C77" s="886"/>
      <c r="D77" s="886"/>
      <c r="E77" s="886"/>
      <c r="F77" s="886"/>
      <c r="G77" s="886"/>
      <c r="H77" s="886"/>
      <c r="I77" s="886"/>
      <c r="J77" s="886"/>
      <c r="K77" s="887"/>
      <c r="L77" s="888"/>
      <c r="M77" s="889"/>
      <c r="N77" s="2397"/>
      <c r="O77" s="2397"/>
      <c r="P77" s="340"/>
      <c r="Q77" s="851"/>
    </row>
    <row r="78" spans="1:17" ht="15.75" thickBot="1">
      <c r="A78" s="881"/>
      <c r="B78" s="890"/>
      <c r="C78" s="891"/>
      <c r="D78" s="891"/>
      <c r="E78" s="891"/>
      <c r="F78" s="891"/>
      <c r="G78" s="891"/>
      <c r="H78" s="891"/>
      <c r="I78" s="891"/>
      <c r="J78" s="891"/>
      <c r="K78" s="891"/>
      <c r="L78" s="891"/>
      <c r="M78" s="892"/>
      <c r="N78" s="2398"/>
      <c r="O78" s="2398"/>
      <c r="P78" s="340"/>
      <c r="Q78" s="851"/>
    </row>
    <row r="79" spans="1:17" ht="15.75" thickTop="1">
      <c r="A79" s="881"/>
      <c r="B79" s="893" t="s">
        <v>575</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6" t="str">
        <f>M80&amp;"（含）"&amp;"-"&amp;P80</f>
        <v>（含）-</v>
      </c>
      <c r="N79" s="2398"/>
      <c r="O79" s="2398"/>
      <c r="P79" s="340"/>
      <c r="Q79" s="851"/>
    </row>
    <row r="80" spans="1:17" ht="15">
      <c r="A80" s="881"/>
      <c r="B80" s="895"/>
      <c r="C80" s="896">
        <v>0</v>
      </c>
      <c r="D80" s="896">
        <v>1</v>
      </c>
      <c r="E80" s="896">
        <v>2</v>
      </c>
      <c r="F80" s="896">
        <v>3</v>
      </c>
      <c r="G80" s="896">
        <v>4</v>
      </c>
      <c r="H80" s="896">
        <v>5</v>
      </c>
      <c r="I80" s="896"/>
      <c r="J80" s="896"/>
      <c r="K80" s="897"/>
      <c r="L80" s="898"/>
      <c r="M80" s="899"/>
      <c r="N80" s="2397"/>
      <c r="O80" s="2397"/>
      <c r="P80" s="340"/>
      <c r="Q80" s="851"/>
    </row>
    <row r="81" spans="1:17" ht="15.75" thickBot="1">
      <c r="A81" s="881"/>
      <c r="B81" s="882"/>
      <c r="C81" s="891">
        <v>100</v>
      </c>
      <c r="D81" s="891">
        <f t="shared" ref="D81:M81" si="21">IF($B$46="单位面积地价",C81+$K11,C81-$K11)</f>
        <v>98</v>
      </c>
      <c r="E81" s="891">
        <f t="shared" si="21"/>
        <v>96</v>
      </c>
      <c r="F81" s="891">
        <f t="shared" si="21"/>
        <v>94</v>
      </c>
      <c r="G81" s="891">
        <f t="shared" si="21"/>
        <v>92</v>
      </c>
      <c r="H81" s="891">
        <f t="shared" si="21"/>
        <v>90</v>
      </c>
      <c r="I81" s="891">
        <f t="shared" si="21"/>
        <v>88</v>
      </c>
      <c r="J81" s="891">
        <f t="shared" si="21"/>
        <v>86</v>
      </c>
      <c r="K81" s="891">
        <f t="shared" si="21"/>
        <v>84</v>
      </c>
      <c r="L81" s="891">
        <f t="shared" si="21"/>
        <v>82</v>
      </c>
      <c r="M81" s="891">
        <f t="shared" si="21"/>
        <v>80</v>
      </c>
      <c r="N81" s="2398"/>
      <c r="O81" s="2398"/>
      <c r="P81" s="340"/>
      <c r="Q81" s="851"/>
    </row>
    <row r="82" spans="1:17" s="818" customFormat="1" ht="15.75" thickTop="1">
      <c r="A82" s="900"/>
      <c r="B82" s="885" t="str">
        <f>B12</f>
        <v>配建</v>
      </c>
      <c r="C82" s="139" t="s">
        <v>268</v>
      </c>
      <c r="D82" s="139" t="s">
        <v>269</v>
      </c>
      <c r="E82" s="139"/>
      <c r="F82" s="139"/>
      <c r="G82" s="139"/>
      <c r="H82" s="1064"/>
      <c r="I82" s="1064"/>
      <c r="J82" s="1064"/>
      <c r="K82" s="1064"/>
      <c r="L82" s="1065"/>
      <c r="M82" s="1066"/>
      <c r="N82" s="2399"/>
      <c r="O82" s="2399"/>
      <c r="P82" s="905"/>
      <c r="Q82" s="906"/>
    </row>
    <row r="83" spans="1:17" s="818" customFormat="1" ht="15.75" thickBot="1">
      <c r="A83" s="900"/>
      <c r="B83" s="890"/>
      <c r="C83" s="907">
        <v>100</v>
      </c>
      <c r="D83" s="883">
        <v>90</v>
      </c>
      <c r="E83" s="883"/>
      <c r="F83" s="883"/>
      <c r="G83" s="883"/>
      <c r="H83" s="883"/>
      <c r="I83" s="883"/>
      <c r="J83" s="883"/>
      <c r="K83" s="883"/>
      <c r="L83" s="883"/>
      <c r="M83" s="884"/>
      <c r="N83" s="2398"/>
      <c r="O83" s="2398"/>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9"/>
      <c r="O84" s="2399"/>
      <c r="P84" s="817"/>
      <c r="Q84" s="908"/>
    </row>
    <row r="85" spans="1:17" s="818" customFormat="1" ht="15.75" thickBot="1">
      <c r="A85" s="900"/>
      <c r="B85" s="890"/>
      <c r="C85" s="907">
        <v>100</v>
      </c>
      <c r="D85" s="907">
        <v>99</v>
      </c>
      <c r="E85" s="907">
        <v>98</v>
      </c>
      <c r="F85" s="907">
        <v>97</v>
      </c>
      <c r="G85" s="907"/>
      <c r="H85" s="909"/>
      <c r="I85" s="909"/>
      <c r="J85" s="909"/>
      <c r="K85" s="909"/>
      <c r="L85" s="909"/>
      <c r="M85" s="910"/>
      <c r="N85" s="2399"/>
      <c r="O85" s="2399"/>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9"/>
      <c r="O86" s="2399"/>
      <c r="P86" s="914"/>
      <c r="Q86" s="906"/>
    </row>
    <row r="87" spans="1:17" s="818" customFormat="1" ht="15.75" thickBot="1">
      <c r="A87" s="915"/>
      <c r="B87" s="916"/>
      <c r="C87" s="917">
        <v>100</v>
      </c>
      <c r="D87" s="917">
        <v>98</v>
      </c>
      <c r="E87" s="917">
        <v>96</v>
      </c>
      <c r="F87" s="917">
        <v>94</v>
      </c>
      <c r="G87" s="917"/>
      <c r="H87" s="918"/>
      <c r="I87" s="918"/>
      <c r="J87" s="918"/>
      <c r="K87" s="918"/>
      <c r="L87" s="918"/>
      <c r="M87" s="919"/>
      <c r="N87" s="2399"/>
      <c r="O87" s="2399"/>
      <c r="P87" s="905"/>
      <c r="Q87" s="906"/>
    </row>
    <row r="88" spans="1:17">
      <c r="A88" s="874" t="s">
        <v>576</v>
      </c>
      <c r="B88" s="875" t="s">
        <v>599</v>
      </c>
      <c r="C88" s="920" t="s">
        <v>600</v>
      </c>
      <c r="D88" s="920" t="s">
        <v>601</v>
      </c>
      <c r="E88" s="920" t="s">
        <v>602</v>
      </c>
      <c r="F88" s="920" t="s">
        <v>603</v>
      </c>
      <c r="G88" s="920" t="s">
        <v>604</v>
      </c>
      <c r="H88" s="876"/>
      <c r="I88" s="876"/>
      <c r="J88" s="876"/>
      <c r="K88" s="921"/>
      <c r="L88" s="922"/>
      <c r="M88" s="923"/>
      <c r="N88" s="2397"/>
      <c r="O88" s="2397"/>
      <c r="P88" s="924"/>
      <c r="Q88" s="851"/>
    </row>
    <row r="89" spans="1:17" ht="15.75" thickBot="1">
      <c r="A89" s="881"/>
      <c r="B89" s="890"/>
      <c r="C89" s="891">
        <v>100</v>
      </c>
      <c r="D89" s="891">
        <f>C89-$K15</f>
        <v>95</v>
      </c>
      <c r="E89" s="891">
        <f>D89-$K15</f>
        <v>90</v>
      </c>
      <c r="F89" s="891">
        <f>E89-$K15</f>
        <v>85</v>
      </c>
      <c r="G89" s="891">
        <f>F89-$K15</f>
        <v>80</v>
      </c>
      <c r="H89" s="891"/>
      <c r="I89" s="891"/>
      <c r="J89" s="891"/>
      <c r="K89" s="891"/>
      <c r="L89" s="891"/>
      <c r="M89" s="892"/>
      <c r="N89" s="2398"/>
      <c r="O89" s="2398"/>
      <c r="P89" s="340"/>
      <c r="Q89" s="851"/>
    </row>
    <row r="90" spans="1:17" ht="15.75" thickTop="1">
      <c r="A90" s="881"/>
      <c r="B90" s="885" t="s">
        <v>722</v>
      </c>
      <c r="C90" s="925" t="s">
        <v>600</v>
      </c>
      <c r="D90" s="925" t="s">
        <v>601</v>
      </c>
      <c r="E90" s="925" t="s">
        <v>602</v>
      </c>
      <c r="F90" s="925" t="s">
        <v>603</v>
      </c>
      <c r="G90" s="925" t="s">
        <v>604</v>
      </c>
      <c r="H90" s="886"/>
      <c r="I90" s="886"/>
      <c r="J90" s="886"/>
      <c r="K90" s="887"/>
      <c r="L90" s="888"/>
      <c r="M90" s="889"/>
      <c r="N90" s="2397"/>
      <c r="O90" s="2397"/>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8"/>
      <c r="O91" s="2398"/>
      <c r="P91" s="340"/>
      <c r="Q91" s="851"/>
    </row>
    <row r="92" spans="1:17" ht="15.75" thickTop="1">
      <c r="A92" s="881"/>
      <c r="B92" s="885" t="s">
        <v>628</v>
      </c>
      <c r="C92" s="925" t="s">
        <v>600</v>
      </c>
      <c r="D92" s="925" t="s">
        <v>601</v>
      </c>
      <c r="E92" s="925" t="s">
        <v>602</v>
      </c>
      <c r="F92" s="925" t="s">
        <v>603</v>
      </c>
      <c r="G92" s="925" t="s">
        <v>604</v>
      </c>
      <c r="H92" s="886"/>
      <c r="I92" s="886"/>
      <c r="J92" s="886"/>
      <c r="K92" s="887"/>
      <c r="L92" s="888"/>
      <c r="M92" s="889"/>
      <c r="N92" s="2397"/>
      <c r="O92" s="2397"/>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8"/>
      <c r="O93" s="2398"/>
      <c r="P93" s="340"/>
      <c r="Q93" s="851"/>
    </row>
    <row r="94" spans="1:17" ht="15.75" thickTop="1">
      <c r="A94" s="881"/>
      <c r="B94" s="885" t="s">
        <v>605</v>
      </c>
      <c r="C94" s="925" t="s">
        <v>600</v>
      </c>
      <c r="D94" s="925" t="s">
        <v>601</v>
      </c>
      <c r="E94" s="925" t="s">
        <v>602</v>
      </c>
      <c r="F94" s="925" t="s">
        <v>603</v>
      </c>
      <c r="G94" s="925" t="s">
        <v>604</v>
      </c>
      <c r="H94" s="886"/>
      <c r="I94" s="886"/>
      <c r="J94" s="886"/>
      <c r="K94" s="887"/>
      <c r="L94" s="888"/>
      <c r="M94" s="889"/>
      <c r="N94" s="2397"/>
      <c r="O94" s="2397"/>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8"/>
      <c r="O95" s="2398"/>
      <c r="P95" s="340"/>
      <c r="Q95" s="851"/>
    </row>
    <row r="96" spans="1:17" s="412" customFormat="1" ht="27.75" thickTop="1">
      <c r="A96" s="926"/>
      <c r="B96" s="885" t="s">
        <v>723</v>
      </c>
      <c r="C96" s="925" t="s">
        <v>600</v>
      </c>
      <c r="D96" s="925" t="s">
        <v>601</v>
      </c>
      <c r="E96" s="925" t="s">
        <v>602</v>
      </c>
      <c r="F96" s="925" t="s">
        <v>603</v>
      </c>
      <c r="G96" s="925" t="s">
        <v>604</v>
      </c>
      <c r="H96" s="925"/>
      <c r="I96" s="925"/>
      <c r="J96" s="925"/>
      <c r="K96" s="925"/>
      <c r="L96" s="1112"/>
      <c r="M96" s="969"/>
      <c r="N96" s="2396"/>
      <c r="O96" s="2396"/>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8"/>
      <c r="O97" s="2398"/>
      <c r="P97" s="340"/>
      <c r="Q97" s="851"/>
    </row>
    <row r="98" spans="1:17" s="412" customFormat="1" ht="27.75" thickTop="1">
      <c r="A98" s="926"/>
      <c r="B98" s="885" t="s">
        <v>724</v>
      </c>
      <c r="C98" s="920" t="s">
        <v>600</v>
      </c>
      <c r="D98" s="920" t="s">
        <v>601</v>
      </c>
      <c r="E98" s="920" t="s">
        <v>602</v>
      </c>
      <c r="F98" s="920" t="s">
        <v>603</v>
      </c>
      <c r="G98" s="920" t="s">
        <v>604</v>
      </c>
      <c r="H98" s="925"/>
      <c r="I98" s="925"/>
      <c r="J98" s="925"/>
      <c r="K98" s="925"/>
      <c r="L98" s="925"/>
      <c r="M98" s="969"/>
      <c r="N98" s="2396"/>
      <c r="O98" s="2396"/>
      <c r="P98" s="340"/>
      <c r="Q98" s="851"/>
    </row>
    <row r="99" spans="1:17" s="412" customFormat="1" ht="15.75" thickBot="1">
      <c r="A99" s="926"/>
      <c r="B99" s="890"/>
      <c r="C99" s="891">
        <v>100</v>
      </c>
      <c r="D99" s="891">
        <f>C99-$K25</f>
        <v>95</v>
      </c>
      <c r="E99" s="891">
        <f>D99-$K25</f>
        <v>90</v>
      </c>
      <c r="F99" s="891">
        <f>E99-$K25</f>
        <v>85</v>
      </c>
      <c r="G99" s="891">
        <f>F99-$K25</f>
        <v>80</v>
      </c>
      <c r="H99" s="891"/>
      <c r="I99" s="891"/>
      <c r="J99" s="891"/>
      <c r="K99" s="891"/>
      <c r="L99" s="891"/>
      <c r="M99" s="892"/>
      <c r="N99" s="2398"/>
      <c r="O99" s="2398"/>
      <c r="P99" s="340"/>
      <c r="Q99" s="851"/>
    </row>
    <row r="100" spans="1:17" s="818" customFormat="1" ht="15.75" thickTop="1">
      <c r="A100" s="900"/>
      <c r="B100" s="1059" t="s">
        <v>3069</v>
      </c>
      <c r="C100" s="920" t="s">
        <v>600</v>
      </c>
      <c r="D100" s="920" t="s">
        <v>601</v>
      </c>
      <c r="E100" s="920" t="s">
        <v>602</v>
      </c>
      <c r="F100" s="920" t="s">
        <v>603</v>
      </c>
      <c r="G100" s="920" t="s">
        <v>604</v>
      </c>
      <c r="H100" s="947"/>
      <c r="I100" s="947"/>
      <c r="J100" s="947"/>
      <c r="K100" s="947"/>
      <c r="L100" s="948"/>
      <c r="M100" s="949"/>
      <c r="N100" s="2399"/>
      <c r="O100" s="2399"/>
      <c r="P100" s="905"/>
      <c r="Q100" s="906"/>
    </row>
    <row r="101" spans="1:17" s="818" customFormat="1" ht="15.75" thickBot="1">
      <c r="A101" s="900"/>
      <c r="B101" s="890"/>
      <c r="C101" s="891">
        <v>100</v>
      </c>
      <c r="D101" s="891">
        <f>C101-$K27</f>
        <v>98</v>
      </c>
      <c r="E101" s="891">
        <f>D101-$K27</f>
        <v>96</v>
      </c>
      <c r="F101" s="891">
        <f>E101-$K27</f>
        <v>94</v>
      </c>
      <c r="G101" s="891">
        <f>F101-$K27</f>
        <v>92</v>
      </c>
      <c r="H101" s="954"/>
      <c r="I101" s="954"/>
      <c r="J101" s="954"/>
      <c r="K101" s="954"/>
      <c r="L101" s="954"/>
      <c r="M101" s="955"/>
      <c r="N101" s="2399"/>
      <c r="O101" s="2399"/>
      <c r="P101" s="905"/>
      <c r="Q101" s="906"/>
    </row>
    <row r="102" spans="1:17" s="818" customFormat="1" ht="15.75" thickTop="1">
      <c r="A102" s="900"/>
      <c r="B102" s="1061" t="s">
        <v>3056</v>
      </c>
      <c r="C102" s="213" t="s">
        <v>3057</v>
      </c>
      <c r="D102" s="213" t="s">
        <v>3058</v>
      </c>
      <c r="E102" s="213" t="s">
        <v>3059</v>
      </c>
      <c r="F102" s="213" t="s">
        <v>3060</v>
      </c>
      <c r="G102" s="213" t="s">
        <v>3061</v>
      </c>
      <c r="H102" s="947"/>
      <c r="I102" s="947"/>
      <c r="J102" s="947"/>
      <c r="K102" s="947"/>
      <c r="L102" s="947"/>
      <c r="M102" s="2806"/>
      <c r="N102" s="2399"/>
      <c r="O102" s="2399"/>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806"/>
      <c r="N103" s="2399"/>
      <c r="O103" s="2399"/>
      <c r="P103" s="905"/>
      <c r="Q103" s="906"/>
    </row>
    <row r="104" spans="1:17" ht="15.75" thickTop="1">
      <c r="A104" s="881"/>
      <c r="B104" s="1059" t="str">
        <f>B31</f>
        <v>临街状况</v>
      </c>
      <c r="C104" s="886" t="s">
        <v>725</v>
      </c>
      <c r="D104" s="886" t="s">
        <v>726</v>
      </c>
      <c r="E104" s="886" t="s">
        <v>727</v>
      </c>
      <c r="F104" s="886" t="s">
        <v>728</v>
      </c>
      <c r="G104" s="886"/>
      <c r="H104" s="886"/>
      <c r="I104" s="886"/>
      <c r="J104" s="886"/>
      <c r="K104" s="887"/>
      <c r="L104" s="888"/>
      <c r="M104" s="889"/>
      <c r="N104" s="2397"/>
      <c r="O104" s="2397"/>
      <c r="P104" s="340"/>
      <c r="Q104" s="851"/>
    </row>
    <row r="105" spans="1:17" ht="15.75" thickBot="1">
      <c r="A105" s="881"/>
      <c r="B105" s="890"/>
      <c r="C105" s="891">
        <v>100</v>
      </c>
      <c r="D105" s="891">
        <f>C105-$K31</f>
        <v>97</v>
      </c>
      <c r="E105" s="891">
        <f t="shared" ref="E105:M105" si="22">D105-$K31</f>
        <v>94</v>
      </c>
      <c r="F105" s="891">
        <f t="shared" si="22"/>
        <v>91</v>
      </c>
      <c r="G105" s="891">
        <f t="shared" si="22"/>
        <v>88</v>
      </c>
      <c r="H105" s="891">
        <f t="shared" si="22"/>
        <v>85</v>
      </c>
      <c r="I105" s="891">
        <f t="shared" si="22"/>
        <v>82</v>
      </c>
      <c r="J105" s="891">
        <f t="shared" si="22"/>
        <v>79</v>
      </c>
      <c r="K105" s="891">
        <f t="shared" si="22"/>
        <v>76</v>
      </c>
      <c r="L105" s="891">
        <f t="shared" si="22"/>
        <v>73</v>
      </c>
      <c r="M105" s="891">
        <f t="shared" si="22"/>
        <v>70</v>
      </c>
      <c r="N105" s="2398"/>
      <c r="O105" s="2398"/>
      <c r="P105" s="340"/>
      <c r="Q105" s="851"/>
    </row>
    <row r="106" spans="1:17" ht="27.75" thickTop="1">
      <c r="A106" s="881"/>
      <c r="B106" s="885" t="s">
        <v>627</v>
      </c>
      <c r="C106" s="139" t="s">
        <v>222</v>
      </c>
      <c r="D106" s="139" t="s">
        <v>224</v>
      </c>
      <c r="E106" s="139" t="s">
        <v>226</v>
      </c>
      <c r="F106" s="139" t="s">
        <v>227</v>
      </c>
      <c r="G106" s="139" t="s">
        <v>228</v>
      </c>
      <c r="H106" s="131"/>
      <c r="I106" s="131"/>
      <c r="J106" s="131"/>
      <c r="K106" s="132"/>
      <c r="L106" s="133"/>
      <c r="M106" s="134"/>
      <c r="N106" s="2397"/>
      <c r="O106" s="2397"/>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8"/>
      <c r="O107" s="2398"/>
      <c r="P107" s="340"/>
      <c r="Q107" s="851"/>
    </row>
    <row r="108" spans="1:17" ht="15.75" thickTop="1">
      <c r="A108" s="881"/>
      <c r="B108" s="885" t="s">
        <v>702</v>
      </c>
      <c r="C108" s="131" t="s">
        <v>1460</v>
      </c>
      <c r="D108" s="131" t="s">
        <v>1461</v>
      </c>
      <c r="E108" s="131" t="s">
        <v>1462</v>
      </c>
      <c r="F108" s="131"/>
      <c r="G108" s="131"/>
      <c r="H108" s="131"/>
      <c r="I108" s="131"/>
      <c r="J108" s="131"/>
      <c r="K108" s="132"/>
      <c r="L108" s="133"/>
      <c r="M108" s="134"/>
      <c r="N108" s="2397"/>
      <c r="O108" s="2397"/>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8"/>
      <c r="O109" s="2398"/>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7"/>
      <c r="O110" s="2397"/>
      <c r="P110" s="340"/>
      <c r="Q110" s="851"/>
    </row>
    <row r="111" spans="1:17" ht="15.75" thickBot="1">
      <c r="A111" s="881"/>
      <c r="B111" s="916"/>
      <c r="C111" s="907">
        <v>100</v>
      </c>
      <c r="D111" s="907">
        <v>99</v>
      </c>
      <c r="E111" s="907">
        <v>98</v>
      </c>
      <c r="F111" s="907">
        <v>97</v>
      </c>
      <c r="G111" s="938"/>
      <c r="H111" s="938"/>
      <c r="I111" s="938"/>
      <c r="J111" s="938"/>
      <c r="K111" s="938"/>
      <c r="L111" s="938"/>
      <c r="M111" s="939"/>
      <c r="N111" s="2398"/>
      <c r="O111" s="2398"/>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7"/>
      <c r="O112" s="2397"/>
      <c r="P112" s="340"/>
      <c r="Q112" s="851"/>
    </row>
    <row r="113" spans="1:17" ht="15.75" thickBot="1">
      <c r="A113" s="881"/>
      <c r="B113" s="890"/>
      <c r="C113" s="917">
        <v>100</v>
      </c>
      <c r="D113" s="917">
        <v>98</v>
      </c>
      <c r="E113" s="917">
        <v>96</v>
      </c>
      <c r="F113" s="917">
        <v>94</v>
      </c>
      <c r="G113" s="883"/>
      <c r="H113" s="883"/>
      <c r="I113" s="883"/>
      <c r="J113" s="883"/>
      <c r="K113" s="883"/>
      <c r="L113" s="883"/>
      <c r="M113" s="884"/>
      <c r="N113" s="2398"/>
      <c r="O113" s="2398"/>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9"/>
      <c r="O114" s="239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8"/>
      <c r="O115" s="2398"/>
      <c r="P115" s="905"/>
      <c r="Q115" s="906"/>
    </row>
    <row r="116" spans="1:17" ht="28.5">
      <c r="A116" s="874" t="s">
        <v>581</v>
      </c>
      <c r="B116" s="875" t="s">
        <v>732</v>
      </c>
      <c r="C116" s="877" t="str">
        <f t="shared" ref="C116:L116" si="25">C117&amp;"(含)"&amp;"-"&amp;D117</f>
        <v>0(含)-20000</v>
      </c>
      <c r="D116" s="877" t="str">
        <f t="shared" si="25"/>
        <v>20000(含)-40000</v>
      </c>
      <c r="E116" s="877" t="str">
        <f t="shared" si="25"/>
        <v>40000(含)-60000</v>
      </c>
      <c r="F116" s="877" t="str">
        <f t="shared" si="25"/>
        <v>60000(含)-80000</v>
      </c>
      <c r="G116" s="877" t="str">
        <f t="shared" si="25"/>
        <v>80000(含)-100000</v>
      </c>
      <c r="H116" s="877" t="str">
        <f t="shared" si="25"/>
        <v>100000(含)-120000</v>
      </c>
      <c r="I116" s="877" t="str">
        <f t="shared" si="25"/>
        <v>120000(含)-140000</v>
      </c>
      <c r="J116" s="877" t="str">
        <f t="shared" si="25"/>
        <v>140000(含)-160000</v>
      </c>
      <c r="K116" s="878" t="str">
        <f t="shared" si="25"/>
        <v>160000(含)-180000</v>
      </c>
      <c r="L116" s="879" t="str">
        <f t="shared" si="25"/>
        <v>180000(含)-</v>
      </c>
      <c r="M116" s="880" t="str">
        <f>M117&amp;"(含)"&amp;"-"&amp;P117</f>
        <v>(含)-</v>
      </c>
      <c r="N116" s="2397"/>
      <c r="O116" s="2397"/>
      <c r="P116" s="340"/>
      <c r="Q116" s="851"/>
    </row>
    <row r="117" spans="1:17" ht="15">
      <c r="A117" s="881"/>
      <c r="B117" s="893"/>
      <c r="C117" s="942">
        <v>0</v>
      </c>
      <c r="D117" s="942">
        <v>20000</v>
      </c>
      <c r="E117" s="942">
        <v>40000</v>
      </c>
      <c r="F117" s="942">
        <v>60000</v>
      </c>
      <c r="G117" s="942">
        <v>80000</v>
      </c>
      <c r="H117" s="942">
        <v>100000</v>
      </c>
      <c r="I117" s="942">
        <v>120000</v>
      </c>
      <c r="J117" s="943">
        <v>140000</v>
      </c>
      <c r="K117" s="943">
        <v>160000</v>
      </c>
      <c r="L117" s="944">
        <v>180000</v>
      </c>
      <c r="M117" s="945"/>
      <c r="N117" s="2397"/>
      <c r="O117" s="2397"/>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98"/>
      <c r="O118" s="2398"/>
      <c r="P118" s="340"/>
      <c r="Q118" s="851"/>
    </row>
    <row r="119" spans="1:17" ht="15" thickTop="1">
      <c r="A119" s="946"/>
      <c r="B119" s="885" t="s">
        <v>733</v>
      </c>
      <c r="C119" s="131" t="s">
        <v>1463</v>
      </c>
      <c r="D119" s="131" t="s">
        <v>1464</v>
      </c>
      <c r="E119" s="131" t="s">
        <v>1465</v>
      </c>
      <c r="F119" s="131" t="s">
        <v>1466</v>
      </c>
      <c r="G119" s="131"/>
      <c r="H119" s="131"/>
      <c r="I119" s="131"/>
      <c r="J119" s="131"/>
      <c r="K119" s="132"/>
      <c r="L119" s="133"/>
      <c r="M119" s="134"/>
      <c r="N119" s="2397"/>
      <c r="O119" s="2397"/>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8"/>
      <c r="O120" s="2398"/>
      <c r="P120" s="340"/>
      <c r="Q120" s="851"/>
    </row>
    <row r="121" spans="1:17" ht="15" thickTop="1">
      <c r="A121" s="946"/>
      <c r="B121" s="885" t="s">
        <v>734</v>
      </c>
      <c r="C121" s="139" t="s">
        <v>1467</v>
      </c>
      <c r="D121" s="139" t="s">
        <v>1468</v>
      </c>
      <c r="E121" s="139" t="s">
        <v>1469</v>
      </c>
      <c r="F121" s="131"/>
      <c r="G121" s="131"/>
      <c r="H121" s="131"/>
      <c r="I121" s="131"/>
      <c r="J121" s="131"/>
      <c r="K121" s="132"/>
      <c r="L121" s="133"/>
      <c r="M121" s="134"/>
      <c r="N121" s="2397"/>
      <c r="O121" s="2397"/>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8"/>
      <c r="O122" s="2398"/>
      <c r="P122" s="340"/>
      <c r="Q122" s="851"/>
    </row>
    <row r="123" spans="1:17" s="818" customFormat="1" ht="15" thickTop="1">
      <c r="A123" s="940"/>
      <c r="B123" s="1059" t="s">
        <v>2891</v>
      </c>
      <c r="C123" s="139" t="s">
        <v>2892</v>
      </c>
      <c r="D123" s="139" t="s">
        <v>2894</v>
      </c>
      <c r="E123" s="139" t="s">
        <v>2895</v>
      </c>
      <c r="F123" s="139" t="s">
        <v>2896</v>
      </c>
      <c r="G123" s="139" t="s">
        <v>2897</v>
      </c>
      <c r="H123" s="131"/>
      <c r="I123" s="131"/>
      <c r="J123" s="131"/>
      <c r="K123" s="132"/>
      <c r="L123" s="133"/>
      <c r="M123" s="134"/>
      <c r="N123" s="2399"/>
      <c r="O123" s="239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9"/>
      <c r="O124" s="2399"/>
      <c r="P124" s="905"/>
      <c r="Q124" s="906"/>
    </row>
    <row r="125" spans="1:17" ht="15" thickTop="1">
      <c r="A125" s="946"/>
      <c r="B125" s="885" t="s">
        <v>735</v>
      </c>
      <c r="C125" s="139" t="s">
        <v>1470</v>
      </c>
      <c r="D125" s="139" t="s">
        <v>1471</v>
      </c>
      <c r="E125" s="131" t="s">
        <v>1472</v>
      </c>
      <c r="F125" s="131" t="s">
        <v>1473</v>
      </c>
      <c r="G125" s="131" t="s">
        <v>1474</v>
      </c>
      <c r="H125" s="131"/>
      <c r="I125" s="131"/>
      <c r="J125" s="131"/>
      <c r="K125" s="132"/>
      <c r="L125" s="133"/>
      <c r="M125" s="134"/>
      <c r="N125" s="2397"/>
      <c r="O125" s="2397"/>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8"/>
      <c r="O126" s="2398"/>
      <c r="P126" s="340"/>
      <c r="Q126" s="851"/>
    </row>
    <row r="127" spans="1:17" ht="15" thickTop="1">
      <c r="A127" s="946"/>
      <c r="B127" s="885" t="str">
        <f>B43</f>
        <v>居住品质</v>
      </c>
      <c r="C127" s="139" t="s">
        <v>3528</v>
      </c>
      <c r="D127" s="139" t="s">
        <v>3529</v>
      </c>
      <c r="E127" s="139" t="s">
        <v>3584</v>
      </c>
      <c r="F127" s="139"/>
      <c r="G127" s="139"/>
      <c r="H127" s="131"/>
      <c r="I127" s="131"/>
      <c r="J127" s="131"/>
      <c r="K127" s="132"/>
      <c r="L127" s="133"/>
      <c r="M127" s="134"/>
      <c r="N127" s="2397"/>
      <c r="O127" s="2397"/>
      <c r="P127" s="340"/>
      <c r="Q127" s="851"/>
    </row>
    <row r="128" spans="1:17" ht="15.75" thickBot="1">
      <c r="A128" s="881"/>
      <c r="B128" s="890"/>
      <c r="C128" s="907">
        <v>100</v>
      </c>
      <c r="D128" s="907">
        <v>105</v>
      </c>
      <c r="E128" s="907">
        <v>95</v>
      </c>
      <c r="F128" s="907"/>
      <c r="G128" s="883"/>
      <c r="H128" s="883"/>
      <c r="I128" s="883"/>
      <c r="J128" s="883"/>
      <c r="K128" s="883"/>
      <c r="L128" s="883"/>
      <c r="M128" s="884"/>
      <c r="N128" s="2398"/>
      <c r="O128" s="2398"/>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7"/>
      <c r="O129" s="2397"/>
      <c r="P129" s="340"/>
      <c r="Q129" s="851"/>
    </row>
    <row r="130" spans="1:17" ht="15.75" thickBot="1">
      <c r="A130" s="881"/>
      <c r="B130" s="890"/>
      <c r="C130" s="917">
        <v>100</v>
      </c>
      <c r="D130" s="917">
        <v>98</v>
      </c>
      <c r="E130" s="917">
        <v>96</v>
      </c>
      <c r="F130" s="917">
        <v>94</v>
      </c>
      <c r="G130" s="883"/>
      <c r="H130" s="883"/>
      <c r="I130" s="883"/>
      <c r="J130" s="883"/>
      <c r="K130" s="883"/>
      <c r="L130" s="883"/>
      <c r="M130" s="884"/>
      <c r="N130" s="2398"/>
      <c r="O130" s="2398"/>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9"/>
      <c r="O131" s="239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9"/>
      <c r="O132" s="2399"/>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C12" sqref="C12"/>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1107</v>
      </c>
      <c r="B1" s="3091"/>
      <c r="C1" s="3092"/>
      <c r="D1" s="3090"/>
      <c r="E1" s="656"/>
      <c r="F1" s="656"/>
      <c r="G1" s="3091"/>
      <c r="H1" s="656"/>
      <c r="I1" s="656"/>
      <c r="J1" s="656"/>
      <c r="K1" s="656">
        <f>MATCH(C1,'数据-取费表'!A6:A16,0)+5</f>
        <v>11</v>
      </c>
    </row>
    <row r="2" spans="1:33" ht="18" customHeight="1">
      <c r="A2" s="581" t="s">
        <v>1056</v>
      </c>
      <c r="B2" s="584">
        <f ca="1">C32</f>
        <v>226506</v>
      </c>
      <c r="C2" s="88" t="s">
        <v>1414</v>
      </c>
      <c r="D2" s="656"/>
      <c r="E2" s="656"/>
      <c r="F2" s="656"/>
      <c r="G2" s="656"/>
      <c r="H2" s="656"/>
      <c r="I2" s="656"/>
      <c r="J2" s="656"/>
      <c r="K2" s="656"/>
    </row>
    <row r="3" spans="1:33" ht="18" customHeight="1" thickBot="1">
      <c r="A3" s="583" t="s">
        <v>1057</v>
      </c>
      <c r="B3" s="584">
        <f ca="1">ROUND(B2*10000/IF(C1="",'数据-汇总表'!E3,INDIRECT("'数据-取费表'!K"&amp;$K$1)),0)</f>
        <v>15622</v>
      </c>
      <c r="C3" s="88" t="s">
        <v>1106</v>
      </c>
      <c r="D3" s="656"/>
      <c r="E3" s="656"/>
      <c r="F3" s="656"/>
      <c r="G3" s="656"/>
      <c r="H3" s="656"/>
      <c r="I3" s="656"/>
      <c r="J3" s="656"/>
      <c r="K3" s="656"/>
    </row>
    <row r="4" spans="1:33" s="1833" customFormat="1" ht="16.5" customHeight="1">
      <c r="A4" s="1830" t="s">
        <v>1108</v>
      </c>
      <c r="B4" s="1831"/>
      <c r="C4" s="1874">
        <f ca="1">SUM(C8:K8)</f>
        <v>272344</v>
      </c>
      <c r="D4" s="1831"/>
      <c r="E4" s="1831"/>
      <c r="F4" s="1831"/>
      <c r="G4" s="1831"/>
      <c r="H4" s="1831"/>
      <c r="I4" s="1831"/>
      <c r="J4" s="1831"/>
      <c r="K4" s="1832"/>
    </row>
    <row r="5" spans="1:33" s="1837" customFormat="1" ht="24">
      <c r="A5" s="1834" t="s">
        <v>1109</v>
      </c>
      <c r="B5" s="1835" t="s">
        <v>1110</v>
      </c>
      <c r="C5" s="1277" t="s">
        <v>42</v>
      </c>
      <c r="D5" s="1277" t="s">
        <v>3591</v>
      </c>
      <c r="E5" s="1277" t="s">
        <v>177</v>
      </c>
      <c r="F5" s="1277" t="s">
        <v>3493</v>
      </c>
      <c r="G5" s="1277" t="s">
        <v>3593</v>
      </c>
      <c r="H5" s="1277" t="s">
        <v>3532</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2284</v>
      </c>
      <c r="B6" s="475" t="s">
        <v>1111</v>
      </c>
      <c r="C6" s="1839">
        <f>'比较法-住宅'!B3</f>
        <v>19233</v>
      </c>
      <c r="D6" s="3355">
        <v>0</v>
      </c>
      <c r="E6" s="3355">
        <f ca="1">'收益法（底商)'!B3</f>
        <v>44980</v>
      </c>
      <c r="F6" s="3326">
        <f>'比较法-公寓'!B3</f>
        <v>16113</v>
      </c>
      <c r="G6" s="3335">
        <v>0</v>
      </c>
      <c r="H6" s="1839"/>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2265</v>
      </c>
      <c r="B7" s="475" t="s">
        <v>1112</v>
      </c>
      <c r="C7" s="657">
        <f>SUMIF('数据-汇总表'!$C19:$C33,假设开发法!C5,'数据-汇总表'!$E19:$E33)</f>
        <v>65608.850000000006</v>
      </c>
      <c r="D7" s="657">
        <f>SUMIF('数据-汇总表'!$C19:$C33,假设开发法!D5,'数据-汇总表'!$E19:$E33)</f>
        <v>0</v>
      </c>
      <c r="E7" s="657">
        <f>SUMIF('数据-汇总表'!$C19:$C33,假设开发法!E5,'数据-汇总表'!$E19:$E33)</f>
        <v>6321.0599999999995</v>
      </c>
      <c r="F7" s="657">
        <f>SUMIF('数据-汇总表'!$C19:$C33,假设开发法!F5,'数据-汇总表'!$E19:$E33)</f>
        <v>73063.02</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2266</v>
      </c>
      <c r="B8" s="513" t="s">
        <v>1113</v>
      </c>
      <c r="C8" s="1876">
        <f>'比较法-住宅'!B2</f>
        <v>126186</v>
      </c>
      <c r="D8" s="3356">
        <v>0</v>
      </c>
      <c r="E8" s="3356">
        <f ca="1">'收益法（底商)'!B2</f>
        <v>28432</v>
      </c>
      <c r="F8" s="1876">
        <f>'比较法-公寓'!B2</f>
        <v>117726</v>
      </c>
      <c r="G8" s="1876">
        <v>0</v>
      </c>
      <c r="H8" s="1876"/>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1114</v>
      </c>
      <c r="B9" s="1831"/>
      <c r="C9" s="1831"/>
      <c r="D9" s="1831"/>
      <c r="E9" s="1831"/>
      <c r="F9" s="1831"/>
      <c r="G9" s="1831"/>
      <c r="H9" s="1831"/>
      <c r="I9" s="1831"/>
      <c r="J9" s="1831"/>
      <c r="K9" s="1832"/>
      <c r="N9" s="1833">
        <v>4</v>
      </c>
      <c r="O9" s="1833">
        <f>O6*P9</f>
        <v>16000</v>
      </c>
      <c r="P9" s="1833">
        <v>0.4</v>
      </c>
    </row>
    <row r="10" spans="1:33" s="1848" customFormat="1" ht="13.5" customHeight="1">
      <c r="A10" s="1834" t="s">
        <v>1109</v>
      </c>
      <c r="B10" s="301" t="s">
        <v>1110</v>
      </c>
      <c r="C10" s="1844" t="s">
        <v>1115</v>
      </c>
      <c r="D10" s="1845" t="s">
        <v>1116</v>
      </c>
      <c r="E10" s="1845" t="s">
        <v>1117</v>
      </c>
      <c r="F10" s="1845" t="s">
        <v>1118</v>
      </c>
      <c r="G10" s="301"/>
      <c r="H10" s="1846"/>
      <c r="I10" s="1846"/>
      <c r="J10" s="1846"/>
      <c r="K10" s="1847"/>
    </row>
    <row r="11" spans="1:33" s="1853" customFormat="1" ht="13.5" customHeight="1">
      <c r="A11" s="1849" t="s">
        <v>3355</v>
      </c>
      <c r="B11" s="1850" t="s">
        <v>1119</v>
      </c>
      <c r="C11" s="659">
        <f ca="1">IF(C1="",'数据-取费表'!P16,INDIRECT("'数据-取费表'!p"&amp;$K$1)+INDIRECT("'数据-取费表'!ar"&amp;$K$1))</f>
        <v>9770</v>
      </c>
      <c r="D11" s="1851"/>
      <c r="E11" s="719"/>
      <c r="F11" s="1852">
        <f ca="1">1-IF('数据-取费表'!B24=0,1,IF(C1="",'数据-取费表'!N16,INDIRECT("'数据-取费表'!n"&amp;$K$1)))</f>
        <v>0.248</v>
      </c>
      <c r="G11" s="301"/>
      <c r="H11" s="1846"/>
      <c r="I11" s="1846"/>
      <c r="J11" s="1846"/>
      <c r="K11" s="1847"/>
    </row>
    <row r="12" spans="1:33" s="1853" customFormat="1" ht="13.5" customHeight="1">
      <c r="A12" s="1849" t="s">
        <v>3356</v>
      </c>
      <c r="B12" s="1850" t="s">
        <v>1120</v>
      </c>
      <c r="C12" s="319">
        <f ca="1">ROUND(C11*F12,0)</f>
        <v>293</v>
      </c>
      <c r="D12" s="1851"/>
      <c r="E12" s="719"/>
      <c r="F12" s="1854">
        <f>'数据-取费表'!B33</f>
        <v>0.03</v>
      </c>
      <c r="G12" s="301" t="s">
        <v>1121</v>
      </c>
      <c r="H12" s="1846"/>
      <c r="I12" s="1846"/>
      <c r="J12" s="1846"/>
      <c r="K12" s="1847"/>
    </row>
    <row r="13" spans="1:33" s="1853" customFormat="1" ht="13.5" customHeight="1">
      <c r="A13" s="1849" t="s">
        <v>3357</v>
      </c>
      <c r="B13" s="1850" t="s">
        <v>1122</v>
      </c>
      <c r="C13" s="319">
        <f ca="1">ROUND(IF(C1="",SUMIF('数据-取费表'!C:C,"住宅",'数据-取费表'!P:P)*F13,IF(INDIRECT("'数据-取费表'!c"&amp;$K$1)="住宅",INDIRECT("'数据-取费表'!P"&amp;$K$1)*F13,0)),0)</f>
        <v>197</v>
      </c>
      <c r="D13" s="1932"/>
      <c r="E13" s="719"/>
      <c r="F13" s="1854">
        <f>'数据-取费表'!B34</f>
        <v>0.05</v>
      </c>
      <c r="G13" s="301" t="s">
        <v>1123</v>
      </c>
      <c r="H13" s="1846"/>
      <c r="I13" s="1846"/>
      <c r="J13" s="1846"/>
      <c r="K13" s="1847"/>
    </row>
    <row r="14" spans="1:33" s="1855" customFormat="1" ht="13.5" customHeight="1">
      <c r="A14" s="1849" t="s">
        <v>3358</v>
      </c>
      <c r="B14" s="1850" t="s">
        <v>1124</v>
      </c>
      <c r="C14" s="319">
        <f ca="1">ROUND(D14*E14*F11/10000,0)</f>
        <v>719</v>
      </c>
      <c r="D14" s="1932">
        <f ca="1">IF(C1="",'数据-汇总表'!E3,INDIRECT("'数据-取费表'!K"&amp;$K$1)+INDIRECT("'数据-取费表'!S"&amp;$K$1))</f>
        <v>144992.93</v>
      </c>
      <c r="E14" s="319">
        <f>'数据-取费表'!B35</f>
        <v>200</v>
      </c>
      <c r="F14" s="1854"/>
      <c r="G14" s="301" t="s">
        <v>1125</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3359</v>
      </c>
      <c r="B15" s="1850" t="s">
        <v>1131</v>
      </c>
      <c r="C15" s="1861">
        <f ca="1">ROUND(C11*F15,0)</f>
        <v>147</v>
      </c>
      <c r="D15" s="1856"/>
      <c r="E15" s="1861"/>
      <c r="F15" s="1862">
        <f>'数据-取费表'!B36</f>
        <v>1.4999999999999999E-2</v>
      </c>
      <c r="G15" s="475" t="s">
        <v>1132</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2285</v>
      </c>
      <c r="B16" s="3278" t="s">
        <v>3360</v>
      </c>
      <c r="C16" s="1861">
        <f ca="1">SUM(C11:C15)</f>
        <v>11126</v>
      </c>
      <c r="D16" s="1856"/>
      <c r="E16" s="1861"/>
      <c r="F16" s="1862"/>
      <c r="G16" s="475"/>
      <c r="H16" s="3088"/>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2286</v>
      </c>
      <c r="B17" s="1850" t="s">
        <v>1126</v>
      </c>
      <c r="C17" s="319">
        <f ca="1">ROUND(D17*E17/10000,0)</f>
        <v>0</v>
      </c>
      <c r="D17" s="1932">
        <f ca="1">D14</f>
        <v>144992.93</v>
      </c>
      <c r="E17" s="319">
        <f>'数据-取费表'!B32</f>
        <v>0</v>
      </c>
      <c r="F17" s="1856"/>
      <c r="G17" s="475" t="s">
        <v>1127</v>
      </c>
      <c r="H17" s="3088"/>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3361</v>
      </c>
      <c r="B18" s="1850" t="s">
        <v>1128</v>
      </c>
      <c r="C18" s="319">
        <f ca="1">C19+C20-IF(C1="",'数据-取费表'!B29,IF(G18="已全部缴纳",C19+C20,H18))</f>
        <v>0</v>
      </c>
      <c r="D18" s="1932"/>
      <c r="E18" s="319"/>
      <c r="F18" s="1854"/>
      <c r="G18" s="3087" t="s">
        <v>3364</v>
      </c>
      <c r="H18" s="3085"/>
      <c r="I18" s="3086" t="s">
        <v>3204</v>
      </c>
      <c r="J18" s="1857"/>
      <c r="K18" s="1858"/>
    </row>
    <row r="19" spans="1:33" s="1853" customFormat="1" ht="13.5" customHeight="1">
      <c r="A19" s="1849" t="s">
        <v>2287</v>
      </c>
      <c r="B19" s="1850" t="s">
        <v>1129</v>
      </c>
      <c r="C19" s="319">
        <f ca="1">ROUND(D19*E19/10000,0)</f>
        <v>1115</v>
      </c>
      <c r="D19" s="1932">
        <f ca="1">IF(C1="",'数据-汇总表'!E5,IF(INDIRECT("'数据-取费表'!c"&amp;$K$1)="住宅",INDIRECT("'数据-取费表'!k"&amp;$K$1),0))</f>
        <v>65608.850000000006</v>
      </c>
      <c r="E19" s="319">
        <f>'数据-取费表'!B27</f>
        <v>170</v>
      </c>
      <c r="F19" s="1854"/>
      <c r="G19" s="309"/>
      <c r="H19" s="3089"/>
      <c r="I19" s="1859"/>
      <c r="J19" s="1859"/>
      <c r="K19" s="1860"/>
    </row>
    <row r="20" spans="1:33" s="1853" customFormat="1" ht="13.5" customHeight="1">
      <c r="A20" s="1849" t="s">
        <v>2288</v>
      </c>
      <c r="B20" s="1850" t="s">
        <v>1130</v>
      </c>
      <c r="C20" s="319">
        <f ca="1">ROUND(D20*E20/10000,0)</f>
        <v>1350</v>
      </c>
      <c r="D20" s="1932">
        <f ca="1">IF(C1="",'数据-汇总表'!E6,IF(INDIRECT("'数据-取费表'!c"&amp;$K$1)="住宅",INDIRECT("'数据-取费表'!s"&amp;$K$1),INDIRECT("'数据-取费表'!k"&amp;$K$1)+INDIRECT("'数据-取费表'!s"&amp;$K$1)))</f>
        <v>79384.079999999987</v>
      </c>
      <c r="E20" s="319">
        <f>'数据-取费表'!B28</f>
        <v>170</v>
      </c>
      <c r="F20" s="1854"/>
      <c r="G20" s="309"/>
      <c r="H20" s="1859"/>
      <c r="I20" s="1859"/>
      <c r="J20" s="1859"/>
      <c r="K20" s="1860"/>
    </row>
    <row r="21" spans="1:33" s="1853" customFormat="1" ht="13.5" customHeight="1">
      <c r="A21" s="1838" t="s">
        <v>2284</v>
      </c>
      <c r="B21" s="1863" t="s">
        <v>1133</v>
      </c>
      <c r="C21" s="1864">
        <f ca="1">C16+C17+C18</f>
        <v>11126</v>
      </c>
      <c r="D21" s="1865"/>
      <c r="E21" s="661"/>
      <c r="F21" s="661"/>
      <c r="G21" s="475" t="s">
        <v>2927</v>
      </c>
      <c r="H21" s="1857"/>
      <c r="I21" s="1857"/>
      <c r="J21" s="1857"/>
      <c r="K21" s="1858"/>
    </row>
    <row r="22" spans="1:33" s="1853" customFormat="1" ht="13.5" customHeight="1">
      <c r="A22" s="1843" t="s">
        <v>2265</v>
      </c>
      <c r="B22" s="1863" t="s">
        <v>1134</v>
      </c>
      <c r="C22" s="1864">
        <f ca="1">ROUND(C21*F22,0)</f>
        <v>167</v>
      </c>
      <c r="D22" s="661"/>
      <c r="E22" s="661"/>
      <c r="F22" s="1866">
        <f>'数据-取费表'!B37</f>
        <v>1.4999999999999999E-2</v>
      </c>
      <c r="G22" s="301" t="s">
        <v>1135</v>
      </c>
      <c r="H22" s="1846"/>
      <c r="I22" s="1846"/>
      <c r="J22" s="1846"/>
      <c r="K22" s="1847"/>
    </row>
    <row r="23" spans="1:33" s="1853" customFormat="1" ht="13.5" customHeight="1">
      <c r="A23" s="1843" t="s">
        <v>2266</v>
      </c>
      <c r="B23" s="1863" t="s">
        <v>1136</v>
      </c>
      <c r="C23" s="1864">
        <f ca="1">ROUND(C4*F23*F11,0)</f>
        <v>1351</v>
      </c>
      <c r="D23" s="661"/>
      <c r="E23" s="661"/>
      <c r="F23" s="1866">
        <f>'数据-取费表'!B38</f>
        <v>0.02</v>
      </c>
      <c r="G23" s="301" t="s">
        <v>1137</v>
      </c>
      <c r="H23" s="1846"/>
      <c r="I23" s="1846"/>
      <c r="J23" s="1846"/>
      <c r="K23" s="1847"/>
    </row>
    <row r="24" spans="1:33" s="1853" customFormat="1" ht="13.5" customHeight="1">
      <c r="A24" s="1843" t="s">
        <v>2267</v>
      </c>
      <c r="B24" s="1863" t="s">
        <v>1138</v>
      </c>
      <c r="C24" s="660">
        <f>ROUND(F24/(1+'数据-取费表'!B42),4)</f>
        <v>3.8600000000000002E-2</v>
      </c>
      <c r="D24" s="661" t="s">
        <v>53</v>
      </c>
      <c r="E24" s="661"/>
      <c r="F24" s="1866">
        <f>'数据-取费表'!B48+'数据-取费表'!B49</f>
        <v>4.0500000000000001E-2</v>
      </c>
      <c r="G24" s="2046" t="s">
        <v>3353</v>
      </c>
      <c r="H24" s="1868"/>
      <c r="I24" s="1868"/>
      <c r="J24" s="1868"/>
      <c r="K24" s="1869"/>
    </row>
    <row r="25" spans="1:33" s="1853" customFormat="1" ht="13.5" customHeight="1">
      <c r="A25" s="1843" t="s">
        <v>2268</v>
      </c>
      <c r="B25" s="1865" t="s">
        <v>1139</v>
      </c>
      <c r="C25" s="2738">
        <f ca="1">C27</f>
        <v>88</v>
      </c>
      <c r="D25" s="660">
        <f ca="1">C26</f>
        <v>1.46E-2</v>
      </c>
      <c r="E25" s="662" t="s">
        <v>53</v>
      </c>
      <c r="F25" s="663">
        <f ca="1">'数据-取费表'!B40</f>
        <v>4.7500000000000001E-2</v>
      </c>
      <c r="G25" s="2737"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2285</v>
      </c>
      <c r="B26" s="1870" t="s">
        <v>1140</v>
      </c>
      <c r="C26" s="2739">
        <f ca="1">ROUND(IF('数据-取费表'!B22&lt;=1,(1+C24)*F25*'数据-取费表'!B24,(1+C24)*(POWER((1+F25),'数据-取费表'!B24)-1)),4)</f>
        <v>1.46E-2</v>
      </c>
      <c r="D26" s="664"/>
      <c r="E26" s="665"/>
      <c r="F26" s="666"/>
      <c r="G26" s="2744"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2286</v>
      </c>
      <c r="B27" s="1870" t="s">
        <v>3017</v>
      </c>
      <c r="C27" s="2740">
        <f ca="1">ROUND(IF('数据-取费表'!B22&lt;=1,(C21+C22+C23)*F25*'数据-取费表'!B24/2,(C21+C22+C23)*(POWER((1+F25),'数据-取费表'!B24/2)-1)),0)</f>
        <v>88</v>
      </c>
      <c r="D27" s="664"/>
      <c r="E27" s="665"/>
      <c r="F27" s="666"/>
      <c r="G27" s="2744" t="str">
        <f>IF('数据-取费表'!B22&lt;=1,"（1）-（3）项×年利率×建设期÷2","（1）-（3）项×((1+年利率)^(建设期÷2)-1)")</f>
        <v>（1）-（3）项×((1+年利率)^(建设期÷2)-1)</v>
      </c>
      <c r="H27" s="1857"/>
      <c r="I27" s="1857"/>
      <c r="J27" s="1857"/>
      <c r="K27" s="1858"/>
    </row>
    <row r="28" spans="1:33" s="669" customFormat="1" ht="13.5" customHeight="1">
      <c r="A28" s="1843" t="s">
        <v>2269</v>
      </c>
      <c r="B28" s="3279" t="s">
        <v>3362</v>
      </c>
      <c r="C28" s="667">
        <f ca="1">C30</f>
        <v>2023</v>
      </c>
      <c r="D28" s="660">
        <f ca="1">C29</f>
        <v>1.9900000000000001E-2</v>
      </c>
      <c r="E28" s="662" t="s">
        <v>53</v>
      </c>
      <c r="F28" s="668">
        <f ca="1">IF(C1="",'数据-取费表'!Q16,INDIRECT("'数据-取费表'!q"&amp;$K$1))</f>
        <v>0.16</v>
      </c>
      <c r="G28" s="1867"/>
      <c r="H28" s="1868"/>
      <c r="I28" s="1868"/>
      <c r="J28" s="1868"/>
      <c r="K28" s="1869"/>
    </row>
    <row r="29" spans="1:33" s="671" customFormat="1" ht="13.5" customHeight="1">
      <c r="A29" s="1849" t="s">
        <v>2285</v>
      </c>
      <c r="B29" s="1872" t="s">
        <v>1141</v>
      </c>
      <c r="C29" s="664">
        <f ca="1">ROUND((1+C24)*F28*'数据-取费表'!B24/'数据-取费表'!B20,4)</f>
        <v>1.9900000000000001E-2</v>
      </c>
      <c r="D29" s="664"/>
      <c r="E29" s="665"/>
      <c r="F29" s="670"/>
      <c r="G29" s="475" t="s">
        <v>1142</v>
      </c>
      <c r="H29" s="1857"/>
      <c r="I29" s="1857"/>
      <c r="J29" s="1857"/>
      <c r="K29" s="1858"/>
    </row>
    <row r="30" spans="1:33" s="671" customFormat="1" ht="13.5" customHeight="1">
      <c r="A30" s="1849" t="s">
        <v>2286</v>
      </c>
      <c r="B30" s="2745" t="s">
        <v>3018</v>
      </c>
      <c r="C30" s="672">
        <f ca="1">ROUND((C21+C22+C23)*F28,0)</f>
        <v>2023</v>
      </c>
      <c r="D30" s="664"/>
      <c r="E30" s="665"/>
      <c r="F30" s="670"/>
      <c r="G30" s="475"/>
      <c r="H30" s="1857"/>
      <c r="I30" s="1857"/>
      <c r="J30" s="1857"/>
      <c r="K30" s="1858"/>
    </row>
    <row r="31" spans="1:33" s="1853" customFormat="1" ht="13.5" customHeight="1" thickBot="1">
      <c r="A31" s="1884" t="s">
        <v>2270</v>
      </c>
      <c r="B31" s="1885" t="s">
        <v>1143</v>
      </c>
      <c r="C31" s="1886">
        <f ca="1">ROUND(C4*F31/(1+'数据-取费表'!B42),0)</f>
        <v>14525</v>
      </c>
      <c r="D31" s="1887"/>
      <c r="E31" s="1888"/>
      <c r="F31" s="1889">
        <f>'数据-取费表'!B41</f>
        <v>5.6000000000000001E-2</v>
      </c>
      <c r="G31" s="1890" t="s">
        <v>1144</v>
      </c>
      <c r="H31" s="1891"/>
      <c r="I31" s="1891"/>
      <c r="J31" s="1891"/>
      <c r="K31" s="1892"/>
    </row>
    <row r="32" spans="1:33" s="1848" customFormat="1" ht="13.5" customHeight="1" thickBot="1">
      <c r="A32" s="1879" t="s">
        <v>3354</v>
      </c>
      <c r="B32" s="1880"/>
      <c r="C32" s="1881">
        <f ca="1">ROUND((C4-C21-C22-C23-C25-C28-C31)/(1+C24+D25+D28),0)</f>
        <v>226506</v>
      </c>
      <c r="D32" s="1880"/>
      <c r="E32" s="1880"/>
      <c r="F32" s="1880"/>
      <c r="G32" s="1882" t="s">
        <v>1145</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41"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3453</v>
      </c>
      <c r="D1" s="1278"/>
      <c r="E1" s="2616" t="s">
        <v>2832</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1056</v>
      </c>
      <c r="B2" s="1411" t="e">
        <f ca="1">C40+J29+L46</f>
        <v>#N/A</v>
      </c>
      <c r="C2" s="1304" t="s">
        <v>1415</v>
      </c>
      <c r="D2" s="1280"/>
      <c r="E2" s="2606"/>
      <c r="F2" s="1281"/>
      <c r="G2" s="2314"/>
      <c r="H2" s="1279"/>
      <c r="I2" s="1279"/>
      <c r="J2" s="1279"/>
      <c r="K2" s="1303"/>
      <c r="L2" s="1279"/>
      <c r="M2" s="1279"/>
    </row>
    <row r="3" spans="1:37" ht="18" customHeight="1" thickBot="1">
      <c r="A3" s="679" t="s">
        <v>1057</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2935</v>
      </c>
      <c r="C5" s="2661" t="e">
        <f ca="1">C6+C10+C12</f>
        <v>#N/A</v>
      </c>
      <c r="D5" s="2671" t="s">
        <v>2937</v>
      </c>
      <c r="E5" s="2662"/>
      <c r="F5" s="2663"/>
      <c r="G5" s="2315"/>
      <c r="H5" s="685">
        <v>1</v>
      </c>
      <c r="I5" s="686" t="s">
        <v>2935</v>
      </c>
      <c r="J5" s="2661" t="e">
        <f ca="1">J6+J10+J12</f>
        <v>#N/A</v>
      </c>
      <c r="K5" s="2664" t="s">
        <v>2937</v>
      </c>
      <c r="L5" s="2662"/>
      <c r="M5" s="2663"/>
    </row>
    <row r="6" spans="1:37" ht="18" customHeight="1">
      <c r="A6" s="2657" t="s">
        <v>2942</v>
      </c>
      <c r="B6" s="3665" t="s">
        <v>2936</v>
      </c>
      <c r="C6" s="2666" t="e">
        <f ca="1">ROUND(F6*F8*F7*(1-F9)/10000,0)</f>
        <v>#N/A</v>
      </c>
      <c r="D6" s="2660" t="s">
        <v>2938</v>
      </c>
      <c r="E6" s="688" t="s">
        <v>1153</v>
      </c>
      <c r="F6" s="689" t="e">
        <f ca="1">INDIRECT("'数据-取费表'!u"&amp;$G$1)</f>
        <v>#N/A</v>
      </c>
      <c r="G6" s="2315"/>
      <c r="H6" s="2657" t="s">
        <v>2945</v>
      </c>
      <c r="I6" s="3665" t="s">
        <v>2936</v>
      </c>
      <c r="J6" s="687" t="e">
        <f ca="1">ROUND(M6*M8*M7*(1-M9)/10000,0)</f>
        <v>#N/A</v>
      </c>
      <c r="K6" s="2660" t="s">
        <v>2938</v>
      </c>
      <c r="L6" s="688" t="s">
        <v>1153</v>
      </c>
      <c r="M6" s="689" t="e">
        <f ca="1">INDIRECT("'数据-取费表'!z"&amp;$G$1)</f>
        <v>#N/A</v>
      </c>
    </row>
    <row r="7" spans="1:37" ht="18" customHeight="1">
      <c r="A7" s="2665"/>
      <c r="B7" s="3666"/>
      <c r="C7" s="2667"/>
      <c r="D7" s="2085"/>
      <c r="E7" s="2668" t="s">
        <v>1154</v>
      </c>
      <c r="F7" s="689" t="e">
        <f ca="1">IF(INDIRECT("'数据-取费表'!ah"&amp;$G$1)="",INDIRECT("'数据-取费表'!k"&amp;$G$1),INDIRECT("'数据-取费表'!ah"&amp;$G$1))</f>
        <v>#N/A</v>
      </c>
      <c r="G7" s="2315"/>
      <c r="H7" s="690"/>
      <c r="I7" s="3666"/>
      <c r="J7" s="692"/>
      <c r="K7" s="693"/>
      <c r="L7" s="688" t="s">
        <v>1154</v>
      </c>
      <c r="M7" s="689" t="e">
        <f ca="1">F7</f>
        <v>#N/A</v>
      </c>
    </row>
    <row r="8" spans="1:37" ht="18" customHeight="1">
      <c r="A8" s="690"/>
      <c r="B8" s="3666"/>
      <c r="C8" s="692"/>
      <c r="D8" s="693"/>
      <c r="E8" s="688" t="s">
        <v>1155</v>
      </c>
      <c r="F8" s="689" t="e">
        <f ca="1">INDIRECT("'数据-取费表'!ai"&amp;$G$1)</f>
        <v>#N/A</v>
      </c>
      <c r="G8" s="2315"/>
      <c r="H8" s="690"/>
      <c r="I8" s="3666"/>
      <c r="J8" s="692"/>
      <c r="K8" s="693"/>
      <c r="L8" s="688" t="s">
        <v>1155</v>
      </c>
      <c r="M8" s="689" t="e">
        <f ca="1">INDIRECT("'数据-取费表'!ai"&amp;$G$1)</f>
        <v>#N/A</v>
      </c>
    </row>
    <row r="9" spans="1:37" ht="18" customHeight="1">
      <c r="A9" s="690"/>
      <c r="B9" s="3667"/>
      <c r="C9" s="692"/>
      <c r="D9" s="693"/>
      <c r="E9" s="688" t="s">
        <v>1156</v>
      </c>
      <c r="F9" s="698" t="e">
        <f ca="1">INDIRECT("'数据-取费表'!w"&amp;$G$1)</f>
        <v>#N/A</v>
      </c>
      <c r="G9" s="2315"/>
      <c r="H9" s="690"/>
      <c r="I9" s="3667"/>
      <c r="J9" s="692"/>
      <c r="K9" s="693"/>
      <c r="L9" s="699" t="s">
        <v>1156</v>
      </c>
      <c r="M9" s="700" t="e">
        <f ca="1">INDIRECT("'数据-取费表'!ab"&amp;$G$1)</f>
        <v>#N/A</v>
      </c>
    </row>
    <row r="10" spans="1:37" ht="18" customHeight="1">
      <c r="A10" s="2657" t="s">
        <v>2943</v>
      </c>
      <c r="B10" s="2658" t="s">
        <v>2931</v>
      </c>
      <c r="C10" s="702">
        <f ca="1">ROUND(IF(F10="押一",F6*F8*F7/12*F11,IF(F10="押二",F6*F8*F7/12*2*F11,IF(F10="押三",F6*F8*F7/12*3*F11,C11*F11)))/10000,0)</f>
        <v>0</v>
      </c>
      <c r="D10" s="2669" t="s">
        <v>2939</v>
      </c>
      <c r="E10" s="2121" t="s">
        <v>2933</v>
      </c>
      <c r="F10" s="3313" t="s">
        <v>3096</v>
      </c>
      <c r="G10" s="2315"/>
      <c r="H10" s="2657" t="s">
        <v>2946</v>
      </c>
      <c r="I10" s="2658" t="s">
        <v>2931</v>
      </c>
      <c r="J10" s="687" t="e">
        <f ca="1">ROUND(IF(M10="押一",M6*M8*M7/12*M11,IF(M10="押二",M6*M8*M7/12*2*M11,IF(M10="押三",M6*M8*M7/12*3*M11,J11*M11)))/10000,0)</f>
        <v>#N/A</v>
      </c>
      <c r="K10" s="2669" t="s">
        <v>2939</v>
      </c>
      <c r="L10" s="2121" t="s">
        <v>2933</v>
      </c>
      <c r="M10" s="2765" t="s">
        <v>3025</v>
      </c>
    </row>
    <row r="11" spans="1:37" ht="18" customHeight="1">
      <c r="A11" s="694"/>
      <c r="B11" s="2659" t="s">
        <v>3099</v>
      </c>
      <c r="C11" s="2442"/>
      <c r="D11" s="2906"/>
      <c r="E11" s="2121" t="s">
        <v>2934</v>
      </c>
      <c r="F11" s="700">
        <f ca="1">'数据-取费表'!B39</f>
        <v>1.4999999999999999E-2</v>
      </c>
      <c r="G11" s="2315"/>
      <c r="H11" s="2670"/>
      <c r="I11" s="2659" t="s">
        <v>3099</v>
      </c>
      <c r="J11" s="2442"/>
      <c r="K11" s="1285"/>
      <c r="L11" s="2121" t="s">
        <v>2934</v>
      </c>
      <c r="M11" s="2120">
        <f ca="1">'数据-取费表'!B39</f>
        <v>1.4999999999999999E-2</v>
      </c>
    </row>
    <row r="12" spans="1:37" ht="18" customHeight="1" thickBot="1">
      <c r="A12" s="2706" t="s">
        <v>2944</v>
      </c>
      <c r="B12" s="2707" t="s">
        <v>2932</v>
      </c>
      <c r="C12" s="2708"/>
      <c r="D12" s="2709"/>
      <c r="E12" s="2710"/>
      <c r="F12" s="2711"/>
      <c r="G12" s="2315"/>
      <c r="H12" s="2706" t="s">
        <v>2947</v>
      </c>
      <c r="I12" s="2707" t="s">
        <v>2932</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2740</v>
      </c>
      <c r="B14" s="688" t="s">
        <v>524</v>
      </c>
      <c r="C14" s="706" t="e">
        <f ca="1">INDIRECT("'数据-取费表'!m"&amp;$G$1)+INDIRECT("'数据-取费表'!t"&amp;$G$1)</f>
        <v>#N/A</v>
      </c>
      <c r="D14" s="2239" t="s">
        <v>1160</v>
      </c>
      <c r="E14" s="2238"/>
      <c r="F14" s="707"/>
      <c r="G14" s="2315"/>
      <c r="H14" s="2465" t="s">
        <v>2743</v>
      </c>
      <c r="I14" s="688" t="s">
        <v>1161</v>
      </c>
      <c r="J14" s="319" t="e">
        <f ca="1">C29</f>
        <v>#N/A</v>
      </c>
      <c r="K14" s="309"/>
      <c r="L14" s="704"/>
      <c r="M14" s="705"/>
    </row>
    <row r="15" spans="1:37" s="710" customFormat="1" ht="18" customHeight="1" thickBot="1">
      <c r="A15" s="2465" t="s">
        <v>3008</v>
      </c>
      <c r="B15" s="688" t="s">
        <v>525</v>
      </c>
      <c r="C15" s="319" t="e">
        <f ca="1">ROUND(C14*F15,0)</f>
        <v>#N/A</v>
      </c>
      <c r="D15" s="708" t="s">
        <v>1162</v>
      </c>
      <c r="E15" s="708" t="s">
        <v>1163</v>
      </c>
      <c r="F15" s="709">
        <f>'数据-取费表'!B33</f>
        <v>0.03</v>
      </c>
      <c r="G15" s="2316"/>
      <c r="H15" s="2714" t="s">
        <v>2750</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3009</v>
      </c>
      <c r="B16" s="688" t="s">
        <v>526</v>
      </c>
      <c r="C16" s="319" t="e">
        <f ca="1">ROUND(INDIRECT("'数据-取费表'!m"&amp;$G$1)*F16,0)</f>
        <v>#N/A</v>
      </c>
      <c r="D16" s="688" t="s">
        <v>1162</v>
      </c>
      <c r="E16" s="688" t="s">
        <v>1163</v>
      </c>
      <c r="F16" s="711" t="e">
        <f ca="1">IF(INDIRECT("'数据-取费表'!c"&amp;$G$1)="住宅",'数据-取费表'!B34,0)</f>
        <v>#N/A</v>
      </c>
      <c r="G16" s="2315"/>
      <c r="H16" s="2702" t="s">
        <v>2708</v>
      </c>
      <c r="I16" s="2703" t="s">
        <v>1164</v>
      </c>
      <c r="J16" s="696" t="e">
        <f ca="1">ROUND(J17+J22+J23+J24,0)</f>
        <v>#N/A</v>
      </c>
      <c r="K16" s="2712" t="s">
        <v>1165</v>
      </c>
      <c r="L16" s="2713"/>
      <c r="M16" s="2663"/>
    </row>
    <row r="17" spans="1:37" s="710" customFormat="1" ht="18" customHeight="1">
      <c r="A17" s="2465" t="s">
        <v>3010</v>
      </c>
      <c r="B17" s="688" t="s">
        <v>527</v>
      </c>
      <c r="C17" s="319" t="e">
        <f ca="1">ROUND(F17*(F43+INDIRECT("'数据-取费表'!S"&amp;$G$1))/10000,0)</f>
        <v>#N/A</v>
      </c>
      <c r="D17" s="688" t="s">
        <v>1166</v>
      </c>
      <c r="E17" s="688" t="s">
        <v>1167</v>
      </c>
      <c r="F17" s="321">
        <f>'数据-取费表'!B35</f>
        <v>200</v>
      </c>
      <c r="G17" s="2316"/>
      <c r="H17" s="2465" t="s">
        <v>2743</v>
      </c>
      <c r="I17" s="688" t="s">
        <v>528</v>
      </c>
      <c r="J17" s="319" t="e">
        <f ca="1">ROUND(IF(项目基本情况!B11="自然人",J5*M17,J18+J19+J20),1)</f>
        <v>#N/A</v>
      </c>
      <c r="K17" s="2239" t="s">
        <v>1168</v>
      </c>
      <c r="L17" s="2237"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3011</v>
      </c>
      <c r="B18" s="688" t="s">
        <v>529</v>
      </c>
      <c r="C18" s="319" t="e">
        <f ca="1">ROUND(C14*F18,0)</f>
        <v>#N/A</v>
      </c>
      <c r="D18" s="688" t="s">
        <v>1162</v>
      </c>
      <c r="E18" s="688" t="s">
        <v>1163</v>
      </c>
      <c r="F18" s="711">
        <f>'数据-取费表'!B36</f>
        <v>1.4999999999999999E-2</v>
      </c>
      <c r="G18" s="2316"/>
      <c r="H18" s="2465" t="s">
        <v>2740</v>
      </c>
      <c r="I18" s="688" t="s">
        <v>1170</v>
      </c>
      <c r="J18" s="319" t="e">
        <f ca="1">ROUND(J5*M18/(1+'数据-取费表'!B42),2)</f>
        <v>#N/A</v>
      </c>
      <c r="K18" s="2237" t="s">
        <v>1171</v>
      </c>
      <c r="L18" s="688" t="s">
        <v>1163</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2942</v>
      </c>
      <c r="B19" s="688" t="s">
        <v>531</v>
      </c>
      <c r="C19" s="319" t="e">
        <f ca="1">SUM(C14:C18)</f>
        <v>#N/A</v>
      </c>
      <c r="D19" s="475" t="s">
        <v>1172</v>
      </c>
      <c r="E19" s="2250"/>
      <c r="F19" s="321"/>
      <c r="G19" s="2315"/>
      <c r="H19" s="2465" t="s">
        <v>3008</v>
      </c>
      <c r="I19" s="688" t="s">
        <v>1173</v>
      </c>
      <c r="J19" s="319" t="e">
        <f ca="1">IF(K19="按租金收入计税",ROUND(J5*M19,2),ROUND(C29*M19*0.7,2))</f>
        <v>#N/A</v>
      </c>
      <c r="K19" s="1305" t="s">
        <v>2793</v>
      </c>
      <c r="L19" s="688" t="s">
        <v>1163</v>
      </c>
      <c r="M19" s="711">
        <f>IF(K19="按租金收入计税",'数据-取费表'!B51,'数据-取费表'!B50)</f>
        <v>1.2E-2</v>
      </c>
    </row>
    <row r="20" spans="1:37" s="710" customFormat="1" ht="18" customHeight="1">
      <c r="A20" s="2465" t="s">
        <v>3012</v>
      </c>
      <c r="B20" s="688" t="s">
        <v>532</v>
      </c>
      <c r="C20" s="319" t="e">
        <f ca="1">ROUND(C19*F20,0)</f>
        <v>#N/A</v>
      </c>
      <c r="D20" s="713" t="s">
        <v>1174</v>
      </c>
      <c r="E20" s="688" t="s">
        <v>1163</v>
      </c>
      <c r="F20" s="711">
        <f>'数据-取费表'!B37</f>
        <v>1.4999999999999999E-2</v>
      </c>
      <c r="G20" s="2316"/>
      <c r="H20" s="2465" t="s">
        <v>3009</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3013</v>
      </c>
      <c r="B21" s="688" t="s">
        <v>1178</v>
      </c>
      <c r="C21" s="319" t="s">
        <v>76</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3014</v>
      </c>
      <c r="B22" s="688" t="s">
        <v>1182</v>
      </c>
      <c r="C22" s="319"/>
      <c r="D22" s="2737" t="str">
        <f>IF(F23&lt;=1,"单利计息。","复利计息。")&amp;"建造成本、管理费用、销售费用产生的利息。"</f>
        <v>复利计息。建造成本、管理费用、销售费用产生的利息。</v>
      </c>
      <c r="E22" s="2250"/>
      <c r="F22" s="321"/>
      <c r="G22" s="2315"/>
      <c r="H22" s="2465" t="s">
        <v>2750</v>
      </c>
      <c r="I22" s="688" t="s">
        <v>1183</v>
      </c>
      <c r="J22" s="319" t="e">
        <f ca="1">ROUND(J14*M22,1)</f>
        <v>#N/A</v>
      </c>
      <c r="K22" s="2237" t="s">
        <v>1184</v>
      </c>
      <c r="L22" s="688" t="s">
        <v>1163</v>
      </c>
      <c r="M22" s="718" t="e">
        <f ca="1">INDIRECT("'数据-取费表'!Ak"&amp;$G$1)</f>
        <v>#N/A</v>
      </c>
    </row>
    <row r="23" spans="1:37" s="710" customFormat="1" ht="18" customHeight="1">
      <c r="A23" s="2465" t="s">
        <v>2740</v>
      </c>
      <c r="B23" s="688" t="s">
        <v>2928</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3013</v>
      </c>
      <c r="I23" s="688" t="s">
        <v>533</v>
      </c>
      <c r="J23" s="319" t="e">
        <f ca="1">ROUND(J13*M23,1)</f>
        <v>#N/A</v>
      </c>
      <c r="K23" s="2237" t="s">
        <v>1186</v>
      </c>
      <c r="L23" s="688" t="s">
        <v>1163</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2746</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3014</v>
      </c>
      <c r="I24" s="2715" t="s">
        <v>532</v>
      </c>
      <c r="J24" s="2716" t="e">
        <f ca="1">ROUND(J5*M24,1)</f>
        <v>#N/A</v>
      </c>
      <c r="K24" s="2717" t="s">
        <v>1189</v>
      </c>
      <c r="L24" s="2715" t="s">
        <v>1163</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2747</v>
      </c>
      <c r="B25" s="688" t="s">
        <v>537</v>
      </c>
      <c r="C25" s="319"/>
      <c r="D25" s="475" t="s">
        <v>1190</v>
      </c>
      <c r="E25" s="2250"/>
      <c r="F25" s="321"/>
      <c r="G25" s="2315"/>
      <c r="H25" s="2702" t="s">
        <v>2723</v>
      </c>
      <c r="I25" s="2719" t="s">
        <v>1191</v>
      </c>
      <c r="J25" s="696" t="e">
        <f ca="1">J5-J16</f>
        <v>#N/A</v>
      </c>
      <c r="K25" s="2720" t="s">
        <v>1192</v>
      </c>
      <c r="L25" s="2721"/>
      <c r="M25" s="2722"/>
    </row>
    <row r="26" spans="1:37" ht="18" customHeight="1">
      <c r="A26" s="2465" t="s">
        <v>2740</v>
      </c>
      <c r="B26" s="688" t="s">
        <v>2929</v>
      </c>
      <c r="C26" s="319" t="e">
        <f ca="1">ROUND((C19+C20)*F26,0)</f>
        <v>#N/A</v>
      </c>
      <c r="D26" s="713" t="s">
        <v>1193</v>
      </c>
      <c r="E26" s="699" t="s">
        <v>1194</v>
      </c>
      <c r="F26" s="698" t="e">
        <f ca="1">INDIRECT("'数据-取费表'!q"&amp;$G$1)</f>
        <v>#N/A</v>
      </c>
      <c r="G26" s="2315"/>
      <c r="H26" s="685" t="s">
        <v>2726</v>
      </c>
      <c r="I26" s="686" t="s">
        <v>1195</v>
      </c>
      <c r="J26" s="687" t="e">
        <f ca="1">IF(J5&lt;&gt;0,ROUND(J25*(1-((1+M28)/(1+M26))^M27)/(M26-M28),0),0)</f>
        <v>#N/A</v>
      </c>
      <c r="K26" s="714" t="s">
        <v>1196</v>
      </c>
      <c r="L26" s="688" t="s">
        <v>1202</v>
      </c>
      <c r="M26" s="698" t="e">
        <f ca="1">INDIRECT("'数据-取费表'!I"&amp;$G$1)</f>
        <v>#N/A</v>
      </c>
    </row>
    <row r="27" spans="1:37" ht="18" customHeight="1">
      <c r="A27" s="2465" t="s">
        <v>2746</v>
      </c>
      <c r="B27" s="688" t="s">
        <v>540</v>
      </c>
      <c r="C27" s="319" t="e">
        <f ca="1">ROUND(F21*F26,4)</f>
        <v>#N/A</v>
      </c>
      <c r="D27" s="713" t="s">
        <v>1197</v>
      </c>
      <c r="E27" s="708"/>
      <c r="F27" s="709"/>
      <c r="G27" s="2315"/>
      <c r="H27" s="690"/>
      <c r="I27" s="691"/>
      <c r="J27" s="692"/>
      <c r="K27" s="722" t="s">
        <v>1198</v>
      </c>
      <c r="L27" s="688" t="s">
        <v>1203</v>
      </c>
      <c r="M27" s="723" t="e">
        <f ca="1">INDIRECT("'数据-取费表'!ag"&amp;$G$1)</f>
        <v>#N/A</v>
      </c>
    </row>
    <row r="28" spans="1:37" s="710" customFormat="1" ht="18" customHeight="1">
      <c r="A28" s="2465" t="s">
        <v>2748</v>
      </c>
      <c r="B28" s="688" t="s">
        <v>541</v>
      </c>
      <c r="C28" s="319">
        <f>ROUND(F28/(1+'数据-取费表'!B42),4)</f>
        <v>5.33E-2</v>
      </c>
      <c r="D28" s="713" t="s">
        <v>1204</v>
      </c>
      <c r="E28" s="688" t="s">
        <v>1163</v>
      </c>
      <c r="F28" s="711">
        <f>'数据-取费表'!B41</f>
        <v>5.6000000000000001E-2</v>
      </c>
      <c r="G28" s="2316"/>
      <c r="H28" s="694"/>
      <c r="I28" s="695"/>
      <c r="J28" s="696"/>
      <c r="K28" s="717"/>
      <c r="L28" s="688" t="s">
        <v>1205</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2749</v>
      </c>
      <c r="B29" s="2715" t="s">
        <v>1206</v>
      </c>
      <c r="C29" s="2716" t="e">
        <f ca="1">ROUND((C19+C20+C23+C26)/(1-F21-C24-C27-C28),0)</f>
        <v>#N/A</v>
      </c>
      <c r="D29" s="2717"/>
      <c r="E29" s="2715"/>
      <c r="F29" s="2718"/>
      <c r="G29" s="2316"/>
      <c r="H29" s="724" t="s">
        <v>2733</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2708</v>
      </c>
      <c r="B30" s="2703" t="s">
        <v>1164</v>
      </c>
      <c r="C30" s="696" t="e">
        <f ca="1">ROUND(C31+C36+C37+C38,0)</f>
        <v>#N/A</v>
      </c>
      <c r="D30" s="2712" t="s">
        <v>1165</v>
      </c>
      <c r="E30" s="2713"/>
      <c r="F30" s="2663"/>
      <c r="G30" s="2315"/>
      <c r="H30" s="1282"/>
      <c r="I30" s="1283"/>
      <c r="J30" s="1284"/>
      <c r="K30" s="1285"/>
      <c r="L30" s="1286"/>
      <c r="M30" s="1287"/>
    </row>
    <row r="31" spans="1:37" ht="18" customHeight="1">
      <c r="A31" s="2465" t="s">
        <v>2942</v>
      </c>
      <c r="B31" s="688" t="s">
        <v>528</v>
      </c>
      <c r="C31" s="319" t="e">
        <f ca="1">ROUND(IF(项目基本情况!B11="自然人",C5*F31,C32+C33+C34),1)</f>
        <v>#N/A</v>
      </c>
      <c r="D31" s="2239" t="s">
        <v>1168</v>
      </c>
      <c r="E31" s="2237" t="s">
        <v>1207</v>
      </c>
      <c r="F31" s="712" t="str">
        <f ca="1">IF(项目基本情况!B11="企业","",IF(INDIRECT("'数据-取费表'!c"&amp;$G$1)="住宅",4.5%,IF(F6*F7*F8/12&gt;20000,11%,6%)))</f>
        <v/>
      </c>
      <c r="G31" s="2315"/>
      <c r="H31" s="1282"/>
      <c r="I31" s="1283"/>
      <c r="J31" s="1284"/>
      <c r="K31" s="1285"/>
      <c r="L31" s="1286"/>
      <c r="M31" s="1287"/>
    </row>
    <row r="32" spans="1:37" ht="18" customHeight="1">
      <c r="A32" s="2465" t="s">
        <v>3007</v>
      </c>
      <c r="B32" s="688" t="s">
        <v>1170</v>
      </c>
      <c r="C32" s="319" t="e">
        <f ca="1">IF(项目基本情况!B11="自然人","——",ROUND(C5*F32/(1+'数据-取费表'!B42),2))</f>
        <v>#N/A</v>
      </c>
      <c r="D32" s="2237" t="s">
        <v>1171</v>
      </c>
      <c r="E32" s="688" t="s">
        <v>1163</v>
      </c>
      <c r="F32" s="721">
        <f>'数据-取费表'!B41</f>
        <v>5.6000000000000001E-2</v>
      </c>
      <c r="G32" s="2315"/>
      <c r="H32" s="1288"/>
      <c r="I32" s="1289"/>
      <c r="J32" s="1290"/>
      <c r="K32" s="1291"/>
      <c r="L32" s="1292"/>
      <c r="M32" s="1293"/>
    </row>
    <row r="33" spans="1:18" ht="18" customHeight="1">
      <c r="A33" s="2465" t="s">
        <v>3008</v>
      </c>
      <c r="B33" s="688" t="s">
        <v>1173</v>
      </c>
      <c r="C33" s="319" t="e">
        <f ca="1">IF(项目基本情况!B11="自然人","——",IF(D33="按租金收入计税",ROUND(C5*F33,2),IF(D33="按房产原值计税",ROUND(C29*F33*0.7,2),INDIRECT("'数据-取费表'!Aj"&amp;$G$1))))</f>
        <v>#N/A</v>
      </c>
      <c r="D33" s="1305" t="s">
        <v>2793</v>
      </c>
      <c r="E33" s="688" t="s">
        <v>530</v>
      </c>
      <c r="F33" s="711">
        <f>IF(D33="按票据","——",IF(D33="按租金收入计税",'数据-取费表'!B51,'数据-取费表'!B50))</f>
        <v>1.2E-2</v>
      </c>
      <c r="G33" s="2315"/>
      <c r="H33" s="1294"/>
      <c r="I33" s="2920"/>
      <c r="J33" s="2921"/>
      <c r="K33" s="1295"/>
      <c r="L33" s="1294"/>
      <c r="M33" s="1294"/>
    </row>
    <row r="34" spans="1:18" ht="18" customHeight="1">
      <c r="A34" s="2657" t="s">
        <v>3009</v>
      </c>
      <c r="B34" s="500" t="s">
        <v>1208</v>
      </c>
      <c r="C34" s="320" t="e">
        <f ca="1">IF(项目基本情况!B11="自然人","——",ROUND(F34*F35/10000,2))</f>
        <v>#N/A</v>
      </c>
      <c r="D34" s="714" t="s">
        <v>1209</v>
      </c>
      <c r="E34" s="688" t="s">
        <v>1210</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2750</v>
      </c>
      <c r="B36" s="688" t="s">
        <v>1183</v>
      </c>
      <c r="C36" s="319" t="e">
        <f ca="1">ROUND(C29*F36,1)</f>
        <v>#N/A</v>
      </c>
      <c r="D36" s="2237" t="s">
        <v>1213</v>
      </c>
      <c r="E36" s="688" t="s">
        <v>1214</v>
      </c>
      <c r="F36" s="718" t="e">
        <f ca="1">INDIRECT("'数据-取费表'!Ak"&amp;$G$1)</f>
        <v>#N/A</v>
      </c>
      <c r="G36" s="2315"/>
      <c r="H36" s="1294"/>
      <c r="I36" s="2920"/>
      <c r="J36" s="2921"/>
      <c r="K36" s="1298"/>
      <c r="L36" s="1294"/>
      <c r="M36" s="1294"/>
    </row>
    <row r="37" spans="1:18" ht="18" customHeight="1">
      <c r="A37" s="2465" t="s">
        <v>3013</v>
      </c>
      <c r="B37" s="688" t="s">
        <v>533</v>
      </c>
      <c r="C37" s="319" t="e">
        <f ca="1">ROUND(C13*F37,1)</f>
        <v>#N/A</v>
      </c>
      <c r="D37" s="2237" t="s">
        <v>534</v>
      </c>
      <c r="E37" s="688" t="s">
        <v>535</v>
      </c>
      <c r="F37" s="720" t="e">
        <f ca="1">INDIRECT("'数据-取费表'!Al"&amp;$G$1)</f>
        <v>#N/A</v>
      </c>
      <c r="G37" s="2315"/>
      <c r="H37" s="1294"/>
      <c r="I37" s="2920"/>
      <c r="J37" s="2921"/>
      <c r="K37" s="1298"/>
      <c r="L37" s="1294"/>
      <c r="M37" s="1294"/>
    </row>
    <row r="38" spans="1:18" ht="18" customHeight="1" thickBot="1">
      <c r="A38" s="2714" t="s">
        <v>3014</v>
      </c>
      <c r="B38" s="2715" t="s">
        <v>532</v>
      </c>
      <c r="C38" s="2716" t="e">
        <f ca="1">ROUND(C5*F38,1)</f>
        <v>#N/A</v>
      </c>
      <c r="D38" s="2717" t="s">
        <v>536</v>
      </c>
      <c r="E38" s="2715" t="s">
        <v>535</v>
      </c>
      <c r="F38" s="2711" t="e">
        <f ca="1">INDIRECT("'数据-取费表'!Am"&amp;$G$1)</f>
        <v>#N/A</v>
      </c>
      <c r="G38" s="2315"/>
      <c r="H38" s="1294"/>
      <c r="I38" s="2920"/>
      <c r="J38" s="2921"/>
      <c r="K38" s="1299"/>
      <c r="L38" s="1294"/>
      <c r="M38" s="1294"/>
    </row>
    <row r="39" spans="1:18" ht="24.6" customHeight="1" thickTop="1">
      <c r="A39" s="2702" t="s">
        <v>2723</v>
      </c>
      <c r="B39" s="2719" t="s">
        <v>542</v>
      </c>
      <c r="C39" s="696" t="e">
        <f ca="1">C5-C30</f>
        <v>#N/A</v>
      </c>
      <c r="D39" s="2720" t="s">
        <v>543</v>
      </c>
      <c r="E39" s="2721"/>
      <c r="F39" s="2722"/>
      <c r="G39" s="2315"/>
      <c r="H39" s="1294"/>
      <c r="I39" s="2920"/>
      <c r="J39" s="2921"/>
      <c r="K39" s="1299"/>
      <c r="L39" s="1294"/>
      <c r="M39" s="1294"/>
    </row>
    <row r="40" spans="1:18" ht="18" customHeight="1">
      <c r="A40" s="685" t="s">
        <v>2726</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2733</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2876</v>
      </c>
      <c r="P45" s="1300"/>
      <c r="Q45" s="1300"/>
      <c r="R45" s="1300"/>
    </row>
    <row r="46" spans="1:18" s="1480" customFormat="1" ht="21" thickBot="1">
      <c r="A46" s="2423" t="s">
        <v>2695</v>
      </c>
      <c r="B46" s="2424"/>
      <c r="C46" s="2761" t="e">
        <f ca="1">C68-C40</f>
        <v>#N/A</v>
      </c>
      <c r="D46" s="2762" t="str">
        <f>C2</f>
        <v>万元</v>
      </c>
      <c r="E46" s="1437"/>
      <c r="F46" s="1437"/>
      <c r="I46" s="2609" t="s">
        <v>2809</v>
      </c>
      <c r="J46" s="2610"/>
      <c r="K46" s="2611"/>
      <c r="L46" s="2613" t="e">
        <f ca="1">IF(M47="住宅",0,IF(L48&gt;J51,L60,J60))</f>
        <v>#N/A</v>
      </c>
      <c r="O46" s="2625" t="s">
        <v>2854</v>
      </c>
      <c r="P46" s="2626" t="s">
        <v>2855</v>
      </c>
      <c r="Q46" s="2627" t="s">
        <v>2853</v>
      </c>
      <c r="R46" s="2627" t="s">
        <v>2856</v>
      </c>
    </row>
    <row r="47" spans="1:18" s="1480" customFormat="1" ht="15.75" thickBot="1">
      <c r="A47" s="2425" t="s">
        <v>2697</v>
      </c>
      <c r="B47" s="2461" t="s">
        <v>2698</v>
      </c>
      <c r="C47" s="2766" t="s">
        <v>2699</v>
      </c>
      <c r="D47" s="2461" t="s">
        <v>2700</v>
      </c>
      <c r="E47" s="2565" t="s">
        <v>2701</v>
      </c>
      <c r="F47" s="2566"/>
      <c r="G47" s="1482"/>
      <c r="I47" s="2584" t="s">
        <v>2802</v>
      </c>
      <c r="J47" s="2585" t="s">
        <v>131</v>
      </c>
      <c r="K47" s="2594" t="s">
        <v>2825</v>
      </c>
      <c r="L47" s="2595" t="e">
        <f ca="1">INDIRECT("'数据-取费表'!d"&amp;$G$1)</f>
        <v>#N/A</v>
      </c>
      <c r="M47" s="2615" t="str">
        <f>IF(ISNUMBER(FIND("住宅",C1)),"住宅","非住宅")</f>
        <v>非住宅</v>
      </c>
      <c r="O47" s="2618" t="s">
        <v>2838</v>
      </c>
      <c r="P47" s="2628" t="s">
        <v>2857</v>
      </c>
      <c r="Q47" s="2619" t="e">
        <f ca="1">C40+J29</f>
        <v>#N/A</v>
      </c>
      <c r="R47" s="2619" t="s">
        <v>2858</v>
      </c>
    </row>
    <row r="48" spans="1:18" s="1480" customFormat="1" ht="47.25" thickBot="1">
      <c r="A48" s="2747" t="s">
        <v>3019</v>
      </c>
      <c r="B48" s="686" t="s">
        <v>2702</v>
      </c>
      <c r="C48" s="2757" t="e">
        <f ca="1">C49+C53+C55</f>
        <v>#N/A</v>
      </c>
      <c r="D48" s="2751"/>
      <c r="E48" s="2752"/>
      <c r="F48" s="2445"/>
      <c r="G48" s="1482"/>
      <c r="H48" s="1483"/>
      <c r="I48" s="2574" t="s">
        <v>2803</v>
      </c>
      <c r="J48" s="2586" t="s">
        <v>2804</v>
      </c>
      <c r="K48" s="2596" t="s">
        <v>2826</v>
      </c>
      <c r="L48" s="2192" t="e">
        <f ca="1">INDIRECT("'数据-取费表'!f"&amp;$G$1)</f>
        <v>#N/A</v>
      </c>
      <c r="O48" s="2618" t="s">
        <v>2839</v>
      </c>
      <c r="P48" s="2628" t="s">
        <v>2859</v>
      </c>
      <c r="Q48" s="2619" t="e">
        <f ca="1">J60</f>
        <v>#N/A</v>
      </c>
      <c r="R48" s="2619" t="s">
        <v>2867</v>
      </c>
    </row>
    <row r="49" spans="1:18" s="1480" customFormat="1" ht="16.5" thickBot="1">
      <c r="A49" s="2458" t="s">
        <v>3020</v>
      </c>
      <c r="B49" s="2750" t="s">
        <v>3022</v>
      </c>
      <c r="C49" s="2759" t="e">
        <f ca="1">ROUND(F49*F51*F50*(1-F52)/10000,0)</f>
        <v>#N/A</v>
      </c>
      <c r="D49" s="2561" t="s">
        <v>2703</v>
      </c>
      <c r="E49" s="2564" t="s">
        <v>2696</v>
      </c>
      <c r="F49" s="2567">
        <v>1500</v>
      </c>
      <c r="G49" s="1484"/>
      <c r="H49" s="1483"/>
      <c r="I49" s="2574" t="s">
        <v>2823</v>
      </c>
      <c r="J49" s="3312">
        <v>2018</v>
      </c>
      <c r="K49" s="2597" t="s">
        <v>2828</v>
      </c>
      <c r="L49" s="2598">
        <v>5000</v>
      </c>
      <c r="O49" s="2620" t="s">
        <v>2840</v>
      </c>
      <c r="P49" s="2628" t="s">
        <v>2860</v>
      </c>
      <c r="Q49" s="2619" t="e">
        <f ca="1">C29</f>
        <v>#N/A</v>
      </c>
      <c r="R49" s="2619" t="s">
        <v>2858</v>
      </c>
    </row>
    <row r="50" spans="1:18" s="1480" customFormat="1" ht="15.75" thickBot="1">
      <c r="A50" s="2459"/>
      <c r="B50" s="2462"/>
      <c r="C50" s="2767"/>
      <c r="D50" s="2432"/>
      <c r="E50" s="2562" t="s">
        <v>2704</v>
      </c>
      <c r="F50" s="2563" t="e">
        <f ca="1">F7</f>
        <v>#N/A</v>
      </c>
      <c r="H50" s="1483"/>
      <c r="I50" s="2574" t="s">
        <v>2805</v>
      </c>
      <c r="J50" s="2588">
        <f>SUMPRODUCT((I63:I65=J47)*(J62:L62=J48)*(J63:L65))</f>
        <v>60</v>
      </c>
      <c r="K50" s="2597" t="s">
        <v>2829</v>
      </c>
      <c r="L50" s="2598">
        <v>0</v>
      </c>
      <c r="M50" s="2592"/>
      <c r="O50" s="2620" t="s">
        <v>2841</v>
      </c>
      <c r="P50" s="2628" t="s">
        <v>2868</v>
      </c>
      <c r="Q50" s="2621">
        <f>J58</f>
        <v>0.4</v>
      </c>
      <c r="R50" s="2619"/>
    </row>
    <row r="51" spans="1:18" s="1480" customFormat="1" ht="15.75" thickBot="1">
      <c r="A51" s="2460"/>
      <c r="B51" s="2462"/>
      <c r="C51" s="2463"/>
      <c r="D51" s="2432"/>
      <c r="E51" s="2464" t="s">
        <v>2705</v>
      </c>
      <c r="F51" s="689" t="e">
        <f ca="1">F8</f>
        <v>#N/A</v>
      </c>
      <c r="I51" s="2589" t="s">
        <v>2810</v>
      </c>
      <c r="J51" s="2590">
        <f>IF(J49="",J50,J49+J50-YEAR('数据-取费表'!B2))</f>
        <v>61</v>
      </c>
      <c r="K51" s="2599" t="s">
        <v>2830</v>
      </c>
      <c r="L51" s="2612" t="e">
        <f ca="1">ROUND(-PV(INDIRECT("'数据-取费表'!h"&amp;$G$1),L48,(C39-C13*C76),0),0)</f>
        <v>#N/A</v>
      </c>
      <c r="M51" s="2593"/>
      <c r="O51" s="2620" t="s">
        <v>2842</v>
      </c>
      <c r="P51" s="2628" t="s">
        <v>2869</v>
      </c>
      <c r="Q51" s="2621">
        <f>J52</f>
        <v>0.09</v>
      </c>
      <c r="R51" s="2619"/>
    </row>
    <row r="52" spans="1:18" s="1480" customFormat="1" ht="16.5" thickBot="1">
      <c r="A52" s="2460"/>
      <c r="B52" s="2462"/>
      <c r="C52" s="2463"/>
      <c r="D52" s="2432"/>
      <c r="E52" s="2464" t="s">
        <v>2706</v>
      </c>
      <c r="F52" s="2560">
        <v>0.1</v>
      </c>
      <c r="I52" s="2591" t="s">
        <v>2834</v>
      </c>
      <c r="J52" s="3311">
        <v>0.09</v>
      </c>
      <c r="K52" s="2591" t="s">
        <v>2818</v>
      </c>
      <c r="L52" s="2605">
        <v>0.04</v>
      </c>
      <c r="M52" s="2424"/>
      <c r="O52" s="2620" t="s">
        <v>2843</v>
      </c>
      <c r="P52" s="2628" t="s">
        <v>2861</v>
      </c>
      <c r="Q52" s="2619" t="e">
        <f ca="1">J53</f>
        <v>#N/A</v>
      </c>
      <c r="R52" s="2619" t="s">
        <v>2862</v>
      </c>
    </row>
    <row r="53" spans="1:18" s="1480" customFormat="1" ht="43.5" thickBot="1">
      <c r="A53" s="2865" t="s">
        <v>3021</v>
      </c>
      <c r="B53" s="437" t="s">
        <v>2931</v>
      </c>
      <c r="C53" s="702" t="e">
        <f ca="1">ROUND(IF(F53="押一",F49*F51*F50/12*F11,IF(F53="押二",F49*F51*F50/12*2*F11,IF(F53="押三",F49*F51*F50/12*3*F11,C54*F11)))/10000,0)</f>
        <v>#N/A</v>
      </c>
      <c r="D53" s="2669" t="s">
        <v>2939</v>
      </c>
      <c r="E53" s="2121" t="s">
        <v>2933</v>
      </c>
      <c r="F53" s="2867" t="s">
        <v>3025</v>
      </c>
      <c r="I53" s="2601" t="s">
        <v>2836</v>
      </c>
      <c r="J53" s="2602" t="e">
        <f ca="1">IF(M47="住宅",J51,MIN(J51,L48))</f>
        <v>#N/A</v>
      </c>
      <c r="K53" s="366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64"/>
      <c r="O53" s="2618" t="s">
        <v>2844</v>
      </c>
      <c r="P53" s="2628" t="s">
        <v>2863</v>
      </c>
      <c r="Q53" s="2619" t="e">
        <f ca="1">Q47+Q48</f>
        <v>#N/A</v>
      </c>
      <c r="R53" s="2619" t="s">
        <v>2845</v>
      </c>
    </row>
    <row r="54" spans="1:18" s="1480" customFormat="1" ht="16.5" thickBot="1">
      <c r="A54" s="2866"/>
      <c r="B54" s="2659" t="s">
        <v>3099</v>
      </c>
      <c r="C54" s="2442"/>
      <c r="D54" s="2669"/>
      <c r="E54" s="2814"/>
      <c r="F54" s="2568"/>
      <c r="I54" s="2439"/>
      <c r="J54" s="2600"/>
      <c r="K54" s="2600"/>
      <c r="L54" s="2600"/>
      <c r="M54" s="1484"/>
      <c r="O54" s="2622" t="s">
        <v>2870</v>
      </c>
      <c r="P54" s="1300"/>
      <c r="Q54" s="1300"/>
      <c r="R54" s="1300"/>
    </row>
    <row r="55" spans="1:18" s="1480" customFormat="1" ht="16.5" thickBot="1">
      <c r="A55" s="2706" t="s">
        <v>2944</v>
      </c>
      <c r="B55" s="2707" t="s">
        <v>2932</v>
      </c>
      <c r="C55" s="2708"/>
      <c r="D55" s="2669"/>
      <c r="E55" s="2746"/>
      <c r="F55" s="2568"/>
      <c r="I55" s="2571" t="s">
        <v>2811</v>
      </c>
      <c r="J55" s="2572"/>
      <c r="K55" s="2582" t="s">
        <v>2812</v>
      </c>
      <c r="L55" s="2604" t="s">
        <v>2852</v>
      </c>
      <c r="O55" s="2625" t="s">
        <v>2854</v>
      </c>
      <c r="P55" s="2626" t="s">
        <v>2855</v>
      </c>
      <c r="Q55" s="2627" t="s">
        <v>2853</v>
      </c>
      <c r="R55" s="2627" t="s">
        <v>2856</v>
      </c>
    </row>
    <row r="56" spans="1:18" s="1480" customFormat="1" ht="44.25" thickTop="1" thickBot="1">
      <c r="A56" s="2436">
        <v>2</v>
      </c>
      <c r="B56" s="2437" t="s">
        <v>2707</v>
      </c>
      <c r="C56" s="612" t="e">
        <f ca="1">C13</f>
        <v>#N/A</v>
      </c>
      <c r="D56" s="2734"/>
      <c r="E56" s="2438"/>
      <c r="F56" s="2568"/>
      <c r="I56" s="2573" t="s">
        <v>2813</v>
      </c>
      <c r="J56" s="2603" t="s">
        <v>44</v>
      </c>
      <c r="K56" s="2574" t="s">
        <v>2817</v>
      </c>
      <c r="L56" s="2192" t="e">
        <f ca="1">IF(L48&lt;J51,"——",L48-J51)</f>
        <v>#N/A</v>
      </c>
      <c r="O56" s="2618" t="s">
        <v>2838</v>
      </c>
      <c r="P56" s="2628" t="s">
        <v>2857</v>
      </c>
      <c r="Q56" s="2619" t="e">
        <f ca="1">C40+J29</f>
        <v>#N/A</v>
      </c>
      <c r="R56" s="2619" t="s">
        <v>2858</v>
      </c>
    </row>
    <row r="57" spans="1:18" s="1480" customFormat="1" ht="29.25" thickBot="1">
      <c r="A57" s="2569"/>
      <c r="B57" s="2429" t="s">
        <v>2737</v>
      </c>
      <c r="C57" s="618" t="e">
        <f ca="1">C29</f>
        <v>#N/A</v>
      </c>
      <c r="D57" s="2440"/>
      <c r="E57" s="2441"/>
      <c r="F57" s="2570"/>
      <c r="I57" s="2575" t="s">
        <v>2835</v>
      </c>
      <c r="J57" s="2579" t="e">
        <f ca="1">IF(OR(M47="住宅",J51&lt;L48,J56="是"),"——",J51-L48)</f>
        <v>#N/A</v>
      </c>
      <c r="K57" s="2574" t="s">
        <v>3307</v>
      </c>
      <c r="L57" s="2192" t="e">
        <f ca="1">IF(L48&lt;J51,"——",IF(L55="比较法",L49,IF(L55="基准地价",L50,L51)))</f>
        <v>#N/A</v>
      </c>
      <c r="O57" s="2618" t="s">
        <v>2839</v>
      </c>
      <c r="P57" s="2628" t="s">
        <v>2864</v>
      </c>
      <c r="Q57" s="2619" t="e">
        <f ca="1">L60</f>
        <v>#N/A</v>
      </c>
      <c r="R57" s="2619" t="s">
        <v>2879</v>
      </c>
    </row>
    <row r="58" spans="1:18" s="1480" customFormat="1" ht="29.25" thickBot="1">
      <c r="A58" s="701" t="s">
        <v>2708</v>
      </c>
      <c r="B58" s="2437" t="s">
        <v>2738</v>
      </c>
      <c r="C58" s="702" t="e">
        <f ca="1">ROUND(C59+C64+C65+C66,0)</f>
        <v>#N/A</v>
      </c>
      <c r="D58" s="2443" t="s">
        <v>2739</v>
      </c>
      <c r="E58" s="2444"/>
      <c r="F58" s="2445"/>
      <c r="I58" s="2575" t="s">
        <v>2814</v>
      </c>
      <c r="J58" s="3310">
        <v>0.4</v>
      </c>
      <c r="K58" s="2599" t="s">
        <v>3308</v>
      </c>
      <c r="L58" s="2192">
        <f ca="1">IF(ISERROR(POWER(1+L52,L47-L48)*(POWER(1+L52,L48)-1)/(POWER(1+L52,L47)-1)),0,POWER(1+L52,L47-L48)*(POWER(1+L52,L48)-1)/(POWER(1+L52,L47)-1))</f>
        <v>0</v>
      </c>
      <c r="O58" s="2620" t="s">
        <v>2840</v>
      </c>
      <c r="P58" s="2628" t="s">
        <v>2871</v>
      </c>
      <c r="Q58" s="2619">
        <f>IF(L55="比较法",L49,IF(L55="基准地价",L50,0))</f>
        <v>5000</v>
      </c>
      <c r="R58" s="2619" t="s">
        <v>2858</v>
      </c>
    </row>
    <row r="59" spans="1:18" s="1480" customFormat="1" ht="29.25" thickBot="1">
      <c r="A59" s="2465" t="s">
        <v>2743</v>
      </c>
      <c r="B59" s="2429" t="s">
        <v>528</v>
      </c>
      <c r="C59" s="319" t="e">
        <f ca="1">ROUND(IF(项目基本情况!B11="自然人",C48*F59,C60+C61+C62),1)</f>
        <v>#N/A</v>
      </c>
      <c r="D59" s="2446" t="s">
        <v>2709</v>
      </c>
      <c r="E59" s="2447" t="s">
        <v>2710</v>
      </c>
      <c r="F59" s="712" t="str">
        <f ca="1">IF(项目基本情况!B11="企业","",IF(INDIRECT("'数据-取费表'!c"&amp;$G$1)="住宅",4.5%,IF(F49*F50*F51/12&gt;20000,11%,6%)))</f>
        <v/>
      </c>
      <c r="I59" s="2575" t="s">
        <v>2815</v>
      </c>
      <c r="J59" s="2579" t="e">
        <f ca="1">IF(OR(M47="住宅",J51&lt;L48,J56="是"),"——",ROUND(C29*J58,0))</f>
        <v>#N/A</v>
      </c>
      <c r="K59" s="2599" t="s">
        <v>3309</v>
      </c>
      <c r="L59" s="2192">
        <f ca="1">IF(ISERROR(POWER(1+L52,L47-J51)*(POWER(1+L52,J51)-1)/(POWER(1+L52,L47)-1)),0,POWER(1+L52,L47-J51)*(POWER(1+L52,J51)-1)/(POWER(1+L52,L47)-1))</f>
        <v>0</v>
      </c>
      <c r="O59" s="2620" t="s">
        <v>2841</v>
      </c>
      <c r="P59" s="2628" t="s">
        <v>2872</v>
      </c>
      <c r="Q59" s="2621">
        <f>L52</f>
        <v>0.04</v>
      </c>
      <c r="R59" s="2619"/>
    </row>
    <row r="60" spans="1:18" s="1480" customFormat="1" ht="20.25" thickBot="1">
      <c r="A60" s="2465" t="s">
        <v>2740</v>
      </c>
      <c r="B60" s="2429" t="s">
        <v>2711</v>
      </c>
      <c r="C60" s="319" t="e">
        <f ca="1">IF(项目基本情况!B11="自然人","——",ROUND(C48*F60/(1+'数据-取费表'!B42),2))</f>
        <v>#N/A</v>
      </c>
      <c r="D60" s="2447" t="s">
        <v>2712</v>
      </c>
      <c r="E60" s="2429" t="s">
        <v>2713</v>
      </c>
      <c r="F60" s="721">
        <f t="shared" ref="F60:F66" si="0">F32</f>
        <v>5.6000000000000001E-2</v>
      </c>
      <c r="I60" s="2576" t="s">
        <v>2816</v>
      </c>
      <c r="J60" s="2581" t="e">
        <f ca="1">IF(OR(M47="住宅",J51&lt;L48,J56="是"),"0",ROUND(J59/(1+J52)^J53,0))</f>
        <v>#N/A</v>
      </c>
      <c r="K60" s="2583" t="s">
        <v>2819</v>
      </c>
      <c r="L60" s="2581" t="e">
        <f ca="1">IF(OR(M47="住宅",L48&lt;J51),0,ROUND(L57*(L58/L59-1),0))</f>
        <v>#N/A</v>
      </c>
      <c r="O60" s="2620" t="s">
        <v>2842</v>
      </c>
      <c r="P60" s="2628" t="s">
        <v>2873</v>
      </c>
      <c r="Q60" s="2619">
        <f ca="1">L58</f>
        <v>0</v>
      </c>
      <c r="R60" s="2619" t="s">
        <v>2847</v>
      </c>
    </row>
    <row r="61" spans="1:18" s="1480" customFormat="1" ht="20.25" thickBot="1">
      <c r="A61" s="2465" t="s">
        <v>2741</v>
      </c>
      <c r="B61" s="2429" t="s">
        <v>2714</v>
      </c>
      <c r="C61" s="319" t="e">
        <f ca="1">IF(项目基本情况!B11="自然人","——",IF(D61="按租金收入计税",ROUND(C48*F61,2),IF(D61="按房产原值计税",ROUND(C57*F61*0.7,2),INDIRECT("'数据-取费表'!Aj"&amp;$G$1))))</f>
        <v>#N/A</v>
      </c>
      <c r="D61" s="1305" t="s">
        <v>2793</v>
      </c>
      <c r="E61" s="2429" t="s">
        <v>2713</v>
      </c>
      <c r="F61" s="711">
        <f t="shared" si="0"/>
        <v>1.2E-2</v>
      </c>
      <c r="I61" s="2439"/>
      <c r="J61" s="2439"/>
      <c r="K61" s="2439"/>
      <c r="L61" s="2439"/>
      <c r="O61" s="2620" t="s">
        <v>2843</v>
      </c>
      <c r="P61" s="2628" t="s">
        <v>2874</v>
      </c>
      <c r="Q61" s="2619">
        <f ca="1">L59</f>
        <v>0</v>
      </c>
      <c r="R61" s="2619" t="s">
        <v>2848</v>
      </c>
    </row>
    <row r="62" spans="1:18" s="1480" customFormat="1" ht="15.75" thickBot="1">
      <c r="A62" s="2465" t="s">
        <v>2742</v>
      </c>
      <c r="B62" s="2428" t="s">
        <v>2715</v>
      </c>
      <c r="C62" s="320" t="e">
        <f ca="1">IF(项目基本情况!B11="自然人","——",ROUND(F62*F63/10000,2))</f>
        <v>#N/A</v>
      </c>
      <c r="D62" s="2448" t="s">
        <v>2716</v>
      </c>
      <c r="E62" s="2429" t="s">
        <v>2717</v>
      </c>
      <c r="F62" s="715">
        <f t="shared" si="0"/>
        <v>18</v>
      </c>
      <c r="I62" s="2577" t="s">
        <v>2806</v>
      </c>
      <c r="J62" s="2578" t="s">
        <v>2807</v>
      </c>
      <c r="K62" s="2578" t="s">
        <v>2808</v>
      </c>
      <c r="L62" s="2578" t="s">
        <v>2804</v>
      </c>
      <c r="O62" s="2618" t="s">
        <v>2844</v>
      </c>
      <c r="P62" s="2628" t="s">
        <v>2863</v>
      </c>
      <c r="Q62" s="2619" t="e">
        <f ca="1">Q56+Q57</f>
        <v>#N/A</v>
      </c>
      <c r="R62" s="2619" t="s">
        <v>2845</v>
      </c>
    </row>
    <row r="63" spans="1:18" s="1480" customFormat="1" ht="16.5" thickBot="1">
      <c r="A63" s="716"/>
      <c r="B63" s="2435"/>
      <c r="C63" s="324"/>
      <c r="D63" s="2449"/>
      <c r="E63" s="2429" t="s">
        <v>2718</v>
      </c>
      <c r="F63" s="689" t="e">
        <f t="shared" ca="1" si="0"/>
        <v>#N/A</v>
      </c>
      <c r="I63" s="2577" t="s">
        <v>2820</v>
      </c>
      <c r="J63" s="2578">
        <v>70</v>
      </c>
      <c r="K63" s="2578">
        <v>50</v>
      </c>
      <c r="L63" s="2578">
        <v>80</v>
      </c>
      <c r="O63" s="2622" t="s">
        <v>2877</v>
      </c>
      <c r="P63" s="1300"/>
      <c r="Q63" s="1300"/>
      <c r="R63" s="1300"/>
    </row>
    <row r="64" spans="1:18" s="1480" customFormat="1" ht="15.75" thickBot="1">
      <c r="A64" s="2465" t="s">
        <v>2750</v>
      </c>
      <c r="B64" s="2429" t="s">
        <v>2719</v>
      </c>
      <c r="C64" s="319" t="e">
        <f ca="1">ROUND(C57*F64,1)</f>
        <v>#N/A</v>
      </c>
      <c r="D64" s="2447" t="s">
        <v>2720</v>
      </c>
      <c r="E64" s="2429" t="s">
        <v>2713</v>
      </c>
      <c r="F64" s="718" t="e">
        <f t="shared" ca="1" si="0"/>
        <v>#N/A</v>
      </c>
      <c r="I64" s="2577" t="s">
        <v>2821</v>
      </c>
      <c r="J64" s="2578">
        <v>50</v>
      </c>
      <c r="K64" s="2578">
        <v>35</v>
      </c>
      <c r="L64" s="2578">
        <v>60</v>
      </c>
      <c r="O64" s="2625" t="s">
        <v>2854</v>
      </c>
      <c r="P64" s="2626" t="s">
        <v>2855</v>
      </c>
      <c r="Q64" s="2627" t="s">
        <v>2853</v>
      </c>
      <c r="R64" s="2627" t="s">
        <v>2856</v>
      </c>
    </row>
    <row r="65" spans="1:18" s="1480" customFormat="1" ht="15.75" thickBot="1">
      <c r="A65" s="2465" t="s">
        <v>2744</v>
      </c>
      <c r="B65" s="2429" t="s">
        <v>533</v>
      </c>
      <c r="C65" s="319" t="e">
        <f ca="1">ROUND(C56*F65,1)</f>
        <v>#N/A</v>
      </c>
      <c r="D65" s="2447" t="s">
        <v>2721</v>
      </c>
      <c r="E65" s="2429" t="s">
        <v>2713</v>
      </c>
      <c r="F65" s="720" t="e">
        <f t="shared" ca="1" si="0"/>
        <v>#N/A</v>
      </c>
      <c r="I65" s="2577" t="s">
        <v>2822</v>
      </c>
      <c r="J65" s="2578">
        <v>40</v>
      </c>
      <c r="K65" s="2578">
        <v>30</v>
      </c>
      <c r="L65" s="2578">
        <v>50</v>
      </c>
      <c r="O65" s="2618" t="s">
        <v>2838</v>
      </c>
      <c r="P65" s="2628" t="s">
        <v>2857</v>
      </c>
      <c r="Q65" s="2619" t="e">
        <f ca="1">C40+J29</f>
        <v>#N/A</v>
      </c>
      <c r="R65" s="2619" t="s">
        <v>2858</v>
      </c>
    </row>
    <row r="66" spans="1:18" s="1480" customFormat="1" ht="20.25" thickBot="1">
      <c r="A66" s="2465" t="s">
        <v>2745</v>
      </c>
      <c r="B66" s="2429" t="s">
        <v>532</v>
      </c>
      <c r="C66" s="319" t="e">
        <f ca="1">ROUND(C48*F66,1)</f>
        <v>#N/A</v>
      </c>
      <c r="D66" s="2447" t="s">
        <v>2722</v>
      </c>
      <c r="E66" s="2429" t="s">
        <v>2713</v>
      </c>
      <c r="F66" s="698" t="e">
        <f t="shared" ca="1" si="0"/>
        <v>#N/A</v>
      </c>
      <c r="O66" s="2618" t="s">
        <v>2839</v>
      </c>
      <c r="P66" s="2628" t="s">
        <v>2864</v>
      </c>
      <c r="Q66" s="2619" t="e">
        <f ca="1">L60</f>
        <v>#N/A</v>
      </c>
      <c r="R66" s="2619" t="s">
        <v>2846</v>
      </c>
    </row>
    <row r="67" spans="1:18" s="1480" customFormat="1" ht="24.75" thickBot="1">
      <c r="A67" s="2436" t="s">
        <v>2723</v>
      </c>
      <c r="B67" s="2450" t="s">
        <v>2724</v>
      </c>
      <c r="C67" s="702" t="e">
        <f ca="1">C48-C58</f>
        <v>#N/A</v>
      </c>
      <c r="D67" s="2446" t="s">
        <v>2725</v>
      </c>
      <c r="E67" s="2451"/>
      <c r="F67" s="2452"/>
      <c r="O67" s="2620" t="s">
        <v>2840</v>
      </c>
      <c r="P67" s="2628" t="s">
        <v>2871</v>
      </c>
      <c r="Q67" s="2623" t="e">
        <f ca="1">L51</f>
        <v>#N/A</v>
      </c>
      <c r="R67" s="2624" t="s">
        <v>2881</v>
      </c>
    </row>
    <row r="68" spans="1:18" s="1480" customFormat="1" ht="20.25" thickBot="1">
      <c r="A68" s="2426" t="s">
        <v>2726</v>
      </c>
      <c r="B68" s="2427" t="s">
        <v>2727</v>
      </c>
      <c r="C68" s="687" t="e">
        <f ca="1">ROUND(C67*(1-((1+F70)/(1+F68))^F69)/(F68-F70),0)</f>
        <v>#N/A</v>
      </c>
      <c r="D68" s="2448" t="s">
        <v>2728</v>
      </c>
      <c r="E68" s="2429" t="s">
        <v>2729</v>
      </c>
      <c r="F68" s="698" t="e">
        <f ca="1">F40</f>
        <v>#N/A</v>
      </c>
      <c r="O68" s="2620" t="s">
        <v>2841</v>
      </c>
      <c r="P68" s="2629" t="s">
        <v>2875</v>
      </c>
      <c r="Q68" s="2619" t="e">
        <f ca="1">ROUND(Q69-Q70*Q71,0)</f>
        <v>#N/A</v>
      </c>
      <c r="R68" s="2619" t="s">
        <v>2880</v>
      </c>
    </row>
    <row r="69" spans="1:18" s="1480" customFormat="1" ht="15.75" thickBot="1">
      <c r="A69" s="2430"/>
      <c r="B69" s="2431"/>
      <c r="C69" s="692"/>
      <c r="D69" s="2453" t="s">
        <v>2730</v>
      </c>
      <c r="E69" s="2429" t="s">
        <v>2731</v>
      </c>
      <c r="F69" s="723" t="e">
        <f ca="1">F41</f>
        <v>#N/A</v>
      </c>
      <c r="O69" s="2620" t="s">
        <v>2849</v>
      </c>
      <c r="P69" s="2629" t="s">
        <v>2865</v>
      </c>
      <c r="Q69" s="2619" t="e">
        <f ca="1">C39</f>
        <v>#N/A</v>
      </c>
      <c r="R69" s="2619" t="s">
        <v>2858</v>
      </c>
    </row>
    <row r="70" spans="1:18" s="1480" customFormat="1" ht="15.75" thickBot="1">
      <c r="A70" s="2433"/>
      <c r="B70" s="2434"/>
      <c r="C70" s="696"/>
      <c r="D70" s="2449"/>
      <c r="E70" s="2429" t="s">
        <v>2732</v>
      </c>
      <c r="F70" s="2560">
        <v>2.5000000000000001E-2</v>
      </c>
      <c r="O70" s="2620" t="s">
        <v>2850</v>
      </c>
      <c r="P70" s="2629" t="s">
        <v>2866</v>
      </c>
      <c r="Q70" s="2619" t="e">
        <f ca="1">C13</f>
        <v>#N/A</v>
      </c>
      <c r="R70" s="2619" t="s">
        <v>2858</v>
      </c>
    </row>
    <row r="71" spans="1:18" s="1480" customFormat="1" ht="15.75" thickBot="1">
      <c r="A71" s="2454" t="s">
        <v>2733</v>
      </c>
      <c r="B71" s="2455" t="s">
        <v>2734</v>
      </c>
      <c r="C71" s="726" t="e">
        <f ca="1">ROUND(C68*10000/F71,0)</f>
        <v>#N/A</v>
      </c>
      <c r="D71" s="2456" t="s">
        <v>2735</v>
      </c>
      <c r="E71" s="2457" t="s">
        <v>2736</v>
      </c>
      <c r="F71" s="729" t="e">
        <f ca="1">F43</f>
        <v>#N/A</v>
      </c>
      <c r="I71" s="2424"/>
      <c r="K71" s="2424"/>
      <c r="O71" s="2620" t="s">
        <v>2851</v>
      </c>
      <c r="P71" s="2629" t="s">
        <v>2878</v>
      </c>
      <c r="Q71" s="2621" t="e">
        <f ca="1">C76</f>
        <v>#N/A</v>
      </c>
      <c r="R71" s="2619"/>
    </row>
    <row r="72" spans="1:18" s="1480" customFormat="1" ht="15.75" thickBot="1">
      <c r="B72" s="1485"/>
      <c r="C72" s="1485"/>
      <c r="I72" s="2424"/>
      <c r="O72" s="2620" t="s">
        <v>2842</v>
      </c>
      <c r="P72" s="2628" t="s">
        <v>2872</v>
      </c>
      <c r="Q72" s="2621">
        <f>L52</f>
        <v>0.04</v>
      </c>
      <c r="R72" s="2619"/>
    </row>
    <row r="73" spans="1:18" ht="20.25" thickBot="1">
      <c r="A73" s="1480"/>
      <c r="B73" s="1485"/>
      <c r="C73" s="1485"/>
      <c r="D73" s="1480"/>
      <c r="E73" s="1480"/>
      <c r="F73" s="1480"/>
      <c r="I73" s="2614"/>
      <c r="O73" s="2620" t="s">
        <v>2843</v>
      </c>
      <c r="P73" s="2628" t="s">
        <v>2873</v>
      </c>
      <c r="Q73" s="2619">
        <f ca="1">L58</f>
        <v>0</v>
      </c>
      <c r="R73" s="2619" t="s">
        <v>2847</v>
      </c>
    </row>
    <row r="74" spans="1:18" ht="20.25" thickBot="1">
      <c r="A74" s="1480"/>
      <c r="B74" s="731" t="s">
        <v>551</v>
      </c>
      <c r="C74" s="732"/>
      <c r="D74" s="1480"/>
      <c r="E74" s="1480"/>
      <c r="F74" s="1480"/>
      <c r="O74" s="2620" t="s">
        <v>2882</v>
      </c>
      <c r="P74" s="2628" t="s">
        <v>2874</v>
      </c>
      <c r="Q74" s="2619">
        <f ca="1">L59</f>
        <v>0</v>
      </c>
      <c r="R74" s="2619" t="s">
        <v>2848</v>
      </c>
    </row>
    <row r="75" spans="1:18" ht="15.75" thickBot="1">
      <c r="A75" s="1480"/>
      <c r="B75" s="733" t="s">
        <v>1211</v>
      </c>
      <c r="C75" s="734" t="e">
        <f ca="1">ROUND(C13*C76,0)</f>
        <v>#N/A</v>
      </c>
      <c r="D75" s="1480"/>
      <c r="E75" s="1480"/>
      <c r="F75" s="1480"/>
      <c r="K75" s="1481"/>
      <c r="L75" s="1480"/>
      <c r="O75" s="2618" t="s">
        <v>2844</v>
      </c>
      <c r="P75" s="2628" t="s">
        <v>2863</v>
      </c>
      <c r="Q75" s="2619" t="e">
        <f ca="1">Q65+Q66</f>
        <v>#N/A</v>
      </c>
      <c r="R75" s="2619" t="s">
        <v>2845</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3102</v>
      </c>
      <c r="C78" s="739"/>
    </row>
    <row r="79" spans="1:18">
      <c r="B79" s="2912" t="s">
        <v>3106</v>
      </c>
      <c r="C79" s="654" t="e">
        <f ca="1">1-C80</f>
        <v>#N/A</v>
      </c>
    </row>
    <row r="80" spans="1:18">
      <c r="B80" s="2912" t="s">
        <v>3105</v>
      </c>
      <c r="C80" s="654" t="e">
        <f ca="1">ROUND(C75/C39,3)</f>
        <v>#N/A</v>
      </c>
    </row>
    <row r="81" spans="2:3">
      <c r="B81" s="650" t="s">
        <v>552</v>
      </c>
      <c r="C81" s="651"/>
    </row>
    <row r="82" spans="2:3">
      <c r="B82" s="2911" t="s">
        <v>3104</v>
      </c>
      <c r="C82" s="655" t="e">
        <f ca="1">1-C83</f>
        <v>#N/A</v>
      </c>
    </row>
    <row r="83" spans="2:3">
      <c r="B83" s="2911" t="s">
        <v>3103</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3532</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2702</v>
      </c>
      <c r="C5" s="2661" t="e">
        <f ca="1">C6+C10+C12</f>
        <v>#N/A</v>
      </c>
      <c r="D5" s="2671" t="s">
        <v>2937</v>
      </c>
      <c r="E5" s="2662"/>
      <c r="F5" s="2663"/>
      <c r="G5" s="2315"/>
      <c r="H5" s="685">
        <v>1</v>
      </c>
      <c r="I5" s="686" t="s">
        <v>2702</v>
      </c>
      <c r="J5" s="2661" t="e">
        <f ca="1">J6+J10+J12</f>
        <v>#N/A</v>
      </c>
      <c r="K5" s="2664" t="s">
        <v>2937</v>
      </c>
      <c r="L5" s="2662"/>
      <c r="M5" s="2663"/>
    </row>
    <row r="6" spans="1:37" ht="18" customHeight="1">
      <c r="A6" s="2657" t="s">
        <v>2743</v>
      </c>
      <c r="B6" s="3665" t="s">
        <v>2936</v>
      </c>
      <c r="C6" s="2666" t="e">
        <f ca="1">ROUND(F6*F8*F7*(1-F9)/10000,0)</f>
        <v>#N/A</v>
      </c>
      <c r="D6" s="2660" t="s">
        <v>2938</v>
      </c>
      <c r="E6" s="688" t="s">
        <v>1153</v>
      </c>
      <c r="F6" s="689" t="e">
        <f ca="1">INDIRECT("'数据-取费表'!u"&amp;$G$1)</f>
        <v>#N/A</v>
      </c>
      <c r="G6" s="2315"/>
      <c r="H6" s="2657" t="s">
        <v>2743</v>
      </c>
      <c r="I6" s="3665" t="s">
        <v>2936</v>
      </c>
      <c r="J6" s="687" t="e">
        <f ca="1">ROUND(M6*M8*M7*(1-M9)/10000,0)</f>
        <v>#N/A</v>
      </c>
      <c r="K6" s="2660" t="s">
        <v>2938</v>
      </c>
      <c r="L6" s="688" t="s">
        <v>1153</v>
      </c>
      <c r="M6" s="689" t="e">
        <f ca="1">INDIRECT("'数据-取费表'!z"&amp;$G$1)</f>
        <v>#N/A</v>
      </c>
    </row>
    <row r="7" spans="1:37" ht="18" customHeight="1">
      <c r="A7" s="2665"/>
      <c r="B7" s="3666"/>
      <c r="C7" s="2667"/>
      <c r="D7" s="2085"/>
      <c r="E7" s="2668" t="s">
        <v>1154</v>
      </c>
      <c r="F7" s="689" t="e">
        <f ca="1">IF(INDIRECT("'数据-取费表'!ah"&amp;$G$1)="",INDIRECT("'数据-取费表'!k"&amp;$G$1),INDIRECT("'数据-取费表'!ah"&amp;$G$1))</f>
        <v>#N/A</v>
      </c>
      <c r="G7" s="2315"/>
      <c r="H7" s="690"/>
      <c r="I7" s="3666"/>
      <c r="J7" s="692"/>
      <c r="K7" s="693"/>
      <c r="L7" s="688" t="s">
        <v>1154</v>
      </c>
      <c r="M7" s="689" t="e">
        <f ca="1">F7</f>
        <v>#N/A</v>
      </c>
    </row>
    <row r="8" spans="1:37" ht="18" customHeight="1">
      <c r="A8" s="690"/>
      <c r="B8" s="3666"/>
      <c r="C8" s="692"/>
      <c r="D8" s="693"/>
      <c r="E8" s="688" t="s">
        <v>1155</v>
      </c>
      <c r="F8" s="689" t="e">
        <f ca="1">INDIRECT("'数据-取费表'!ai"&amp;$G$1)</f>
        <v>#N/A</v>
      </c>
      <c r="G8" s="2315"/>
      <c r="H8" s="690"/>
      <c r="I8" s="3666"/>
      <c r="J8" s="692"/>
      <c r="K8" s="693"/>
      <c r="L8" s="688" t="s">
        <v>1155</v>
      </c>
      <c r="M8" s="689" t="e">
        <f ca="1">INDIRECT("'数据-取费表'!ai"&amp;$G$1)</f>
        <v>#N/A</v>
      </c>
    </row>
    <row r="9" spans="1:37" ht="18" customHeight="1">
      <c r="A9" s="690"/>
      <c r="B9" s="3667"/>
      <c r="C9" s="692"/>
      <c r="D9" s="693"/>
      <c r="E9" s="688" t="s">
        <v>1156</v>
      </c>
      <c r="F9" s="698" t="e">
        <f ca="1">INDIRECT("'数据-取费表'!w"&amp;$G$1)</f>
        <v>#N/A</v>
      </c>
      <c r="G9" s="2315"/>
      <c r="H9" s="690"/>
      <c r="I9" s="3667"/>
      <c r="J9" s="692"/>
      <c r="K9" s="693"/>
      <c r="L9" s="699" t="s">
        <v>1156</v>
      </c>
      <c r="M9" s="700" t="e">
        <f ca="1">INDIRECT("'数据-取费表'!ab"&amp;$G$1)</f>
        <v>#N/A</v>
      </c>
    </row>
    <row r="10" spans="1:37" ht="18" customHeight="1">
      <c r="A10" s="2657" t="s">
        <v>2750</v>
      </c>
      <c r="B10" s="2658" t="s">
        <v>2931</v>
      </c>
      <c r="C10" s="702">
        <f ca="1">ROUND(IF(F10="押一",F6*F8*F7/12*F11,IF(F10="押二",F6*F8*F7/12*2*F11,IF(F10="押三",F6*F8*F7/12*3*F11,C11*F11)))/10000,0)</f>
        <v>0</v>
      </c>
      <c r="D10" s="2669" t="s">
        <v>2939</v>
      </c>
      <c r="E10" s="2121" t="s">
        <v>2933</v>
      </c>
      <c r="F10" s="3313" t="s">
        <v>3096</v>
      </c>
      <c r="G10" s="2315"/>
      <c r="H10" s="2657" t="s">
        <v>2750</v>
      </c>
      <c r="I10" s="2658" t="s">
        <v>2931</v>
      </c>
      <c r="J10" s="687" t="e">
        <f ca="1">ROUND(IF(M10="押一",M6*M8*M7/12*M11,IF(M10="押二",M6*M8*M7/12*2*M11,IF(M10="押三",M6*M8*M7/12*3*M11,J11*M11)))/10000,0)</f>
        <v>#N/A</v>
      </c>
      <c r="K10" s="2669" t="s">
        <v>2939</v>
      </c>
      <c r="L10" s="2121" t="s">
        <v>2933</v>
      </c>
      <c r="M10" s="2765" t="s">
        <v>3025</v>
      </c>
    </row>
    <row r="11" spans="1:37" ht="18" customHeight="1">
      <c r="A11" s="694"/>
      <c r="B11" s="2659" t="s">
        <v>3099</v>
      </c>
      <c r="C11" s="2442"/>
      <c r="D11" s="2906"/>
      <c r="E11" s="2121" t="s">
        <v>2934</v>
      </c>
      <c r="F11" s="700">
        <f ca="1">'数据-取费表'!B39</f>
        <v>1.4999999999999999E-2</v>
      </c>
      <c r="G11" s="2315"/>
      <c r="H11" s="2670"/>
      <c r="I11" s="2659" t="s">
        <v>3099</v>
      </c>
      <c r="J11" s="2442"/>
      <c r="K11" s="1285"/>
      <c r="L11" s="2121" t="s">
        <v>2934</v>
      </c>
      <c r="M11" s="2120">
        <f ca="1">'数据-取费表'!B39</f>
        <v>1.4999999999999999E-2</v>
      </c>
    </row>
    <row r="12" spans="1:37" ht="18" customHeight="1" thickBot="1">
      <c r="A12" s="2706" t="s">
        <v>2944</v>
      </c>
      <c r="B12" s="2707" t="s">
        <v>2932</v>
      </c>
      <c r="C12" s="2708"/>
      <c r="D12" s="2709"/>
      <c r="E12" s="2710"/>
      <c r="F12" s="2711"/>
      <c r="G12" s="2315"/>
      <c r="H12" s="2706" t="s">
        <v>2944</v>
      </c>
      <c r="I12" s="2707" t="s">
        <v>2932</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2740</v>
      </c>
      <c r="B14" s="688" t="s">
        <v>524</v>
      </c>
      <c r="C14" s="706" t="e">
        <f ca="1">INDIRECT("'数据-取费表'!m"&amp;$G$1)+INDIRECT("'数据-取费表'!t"&amp;$G$1)</f>
        <v>#N/A</v>
      </c>
      <c r="D14" s="3384" t="s">
        <v>1160</v>
      </c>
      <c r="E14" s="3382"/>
      <c r="F14" s="707"/>
      <c r="G14" s="2315"/>
      <c r="H14" s="2465" t="s">
        <v>2743</v>
      </c>
      <c r="I14" s="688" t="s">
        <v>1161</v>
      </c>
      <c r="J14" s="319" t="e">
        <f ca="1">C29</f>
        <v>#N/A</v>
      </c>
      <c r="K14" s="309"/>
      <c r="L14" s="704"/>
      <c r="M14" s="705"/>
    </row>
    <row r="15" spans="1:37" s="710" customFormat="1" ht="18" customHeight="1" thickBot="1">
      <c r="A15" s="2465" t="s">
        <v>3008</v>
      </c>
      <c r="B15" s="688" t="s">
        <v>525</v>
      </c>
      <c r="C15" s="319" t="e">
        <f ca="1">ROUND(C14*F15,0)</f>
        <v>#N/A</v>
      </c>
      <c r="D15" s="708" t="s">
        <v>1162</v>
      </c>
      <c r="E15" s="708" t="s">
        <v>530</v>
      </c>
      <c r="F15" s="709">
        <f>'数据-取费表'!B33</f>
        <v>0.03</v>
      </c>
      <c r="G15" s="2316"/>
      <c r="H15" s="2714" t="s">
        <v>2750</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3009</v>
      </c>
      <c r="B16" s="688" t="s">
        <v>526</v>
      </c>
      <c r="C16" s="319" t="e">
        <f ca="1">ROUND(INDIRECT("'数据-取费表'!m"&amp;$G$1)*F16,0)</f>
        <v>#N/A</v>
      </c>
      <c r="D16" s="688" t="s">
        <v>1162</v>
      </c>
      <c r="E16" s="688" t="s">
        <v>530</v>
      </c>
      <c r="F16" s="711" t="e">
        <f ca="1">IF(INDIRECT("'数据-取费表'!c"&amp;$G$1)="住宅",'数据-取费表'!B34,0)</f>
        <v>#N/A</v>
      </c>
      <c r="G16" s="2315"/>
      <c r="H16" s="2702" t="s">
        <v>2708</v>
      </c>
      <c r="I16" s="2703" t="s">
        <v>1164</v>
      </c>
      <c r="J16" s="696" t="e">
        <f ca="1">ROUND(J17+J22+J23+J24,0)</f>
        <v>#N/A</v>
      </c>
      <c r="K16" s="2712" t="s">
        <v>1165</v>
      </c>
      <c r="L16" s="2713"/>
      <c r="M16" s="2663"/>
    </row>
    <row r="17" spans="1:37" s="710" customFormat="1" ht="18" customHeight="1">
      <c r="A17" s="2465" t="s">
        <v>3010</v>
      </c>
      <c r="B17" s="688" t="s">
        <v>527</v>
      </c>
      <c r="C17" s="319" t="e">
        <f ca="1">ROUND(F17*(F43+INDIRECT("'数据-取费表'!S"&amp;$G$1))/10000,0)</f>
        <v>#N/A</v>
      </c>
      <c r="D17" s="688" t="s">
        <v>1166</v>
      </c>
      <c r="E17" s="688" t="s">
        <v>1167</v>
      </c>
      <c r="F17" s="321">
        <f>'数据-取费表'!B35</f>
        <v>200</v>
      </c>
      <c r="G17" s="2316"/>
      <c r="H17" s="2465" t="s">
        <v>2743</v>
      </c>
      <c r="I17" s="688" t="s">
        <v>528</v>
      </c>
      <c r="J17" s="319" t="e">
        <f ca="1">ROUND(IF(项目基本情况!B11="自然人",J5*M17,J18+J19+J20),1)</f>
        <v>#N/A</v>
      </c>
      <c r="K17" s="3384" t="s">
        <v>1168</v>
      </c>
      <c r="L17" s="3383"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3011</v>
      </c>
      <c r="B18" s="688" t="s">
        <v>529</v>
      </c>
      <c r="C18" s="319" t="e">
        <f ca="1">ROUND(C14*F18,0)</f>
        <v>#N/A</v>
      </c>
      <c r="D18" s="688" t="s">
        <v>1162</v>
      </c>
      <c r="E18" s="688" t="s">
        <v>530</v>
      </c>
      <c r="F18" s="711">
        <f>'数据-取费表'!B36</f>
        <v>1.4999999999999999E-2</v>
      </c>
      <c r="G18" s="2316"/>
      <c r="H18" s="2465" t="s">
        <v>2740</v>
      </c>
      <c r="I18" s="688" t="s">
        <v>1170</v>
      </c>
      <c r="J18" s="319" t="e">
        <f ca="1">ROUND(J5*M18/(1+'数据-取费表'!B42),2)</f>
        <v>#N/A</v>
      </c>
      <c r="K18" s="3383"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2743</v>
      </c>
      <c r="B19" s="688" t="s">
        <v>531</v>
      </c>
      <c r="C19" s="319" t="e">
        <f ca="1">SUM(C14:C18)</f>
        <v>#N/A</v>
      </c>
      <c r="D19" s="475" t="s">
        <v>1172</v>
      </c>
      <c r="E19" s="3387"/>
      <c r="F19" s="321"/>
      <c r="G19" s="2315"/>
      <c r="H19" s="2465" t="s">
        <v>3008</v>
      </c>
      <c r="I19" s="688" t="s">
        <v>1173</v>
      </c>
      <c r="J19" s="319" t="e">
        <f ca="1">IF(K19="按租金收入计税",ROUND(J5*M19,2),ROUND(C29*M19*0.7,2))</f>
        <v>#N/A</v>
      </c>
      <c r="K19" s="1305" t="s">
        <v>2793</v>
      </c>
      <c r="L19" s="688" t="s">
        <v>530</v>
      </c>
      <c r="M19" s="711">
        <f>IF(K19="按租金收入计税",'数据-取费表'!B51,'数据-取费表'!B50)</f>
        <v>1.2E-2</v>
      </c>
    </row>
    <row r="20" spans="1:37" s="710" customFormat="1" ht="18" customHeight="1">
      <c r="A20" s="2465" t="s">
        <v>3012</v>
      </c>
      <c r="B20" s="688" t="s">
        <v>532</v>
      </c>
      <c r="C20" s="319" t="e">
        <f ca="1">ROUND(C19*F20,0)</f>
        <v>#N/A</v>
      </c>
      <c r="D20" s="713" t="s">
        <v>1174</v>
      </c>
      <c r="E20" s="688" t="s">
        <v>530</v>
      </c>
      <c r="F20" s="711">
        <f>'数据-取费表'!B37</f>
        <v>1.4999999999999999E-2</v>
      </c>
      <c r="G20" s="2316"/>
      <c r="H20" s="2465" t="s">
        <v>3009</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3013</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3014</v>
      </c>
      <c r="B22" s="688" t="s">
        <v>1182</v>
      </c>
      <c r="C22" s="319"/>
      <c r="D22" s="2737" t="str">
        <f>IF(F23&lt;=1,"单利计息。","复利计息。")&amp;"建造成本、管理费用、销售费用产生的利息。"</f>
        <v>复利计息。建造成本、管理费用、销售费用产生的利息。</v>
      </c>
      <c r="E22" s="3387"/>
      <c r="F22" s="321"/>
      <c r="G22" s="2315"/>
      <c r="H22" s="2465" t="s">
        <v>2750</v>
      </c>
      <c r="I22" s="688" t="s">
        <v>1183</v>
      </c>
      <c r="J22" s="319" t="e">
        <f ca="1">ROUND(J14*M22,1)</f>
        <v>#N/A</v>
      </c>
      <c r="K22" s="3383" t="s">
        <v>1184</v>
      </c>
      <c r="L22" s="688" t="s">
        <v>530</v>
      </c>
      <c r="M22" s="718" t="e">
        <f ca="1">INDIRECT("'数据-取费表'!Ak"&amp;$G$1)</f>
        <v>#N/A</v>
      </c>
    </row>
    <row r="23" spans="1:37" s="710" customFormat="1" ht="18" customHeight="1">
      <c r="A23" s="2465" t="s">
        <v>2740</v>
      </c>
      <c r="B23" s="688" t="s">
        <v>2928</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3013</v>
      </c>
      <c r="I23" s="688" t="s">
        <v>533</v>
      </c>
      <c r="J23" s="319" t="e">
        <f ca="1">ROUND(J13*M23,1)</f>
        <v>#N/A</v>
      </c>
      <c r="K23" s="3383"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2746</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3014</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2747</v>
      </c>
      <c r="B25" s="688" t="s">
        <v>537</v>
      </c>
      <c r="C25" s="319"/>
      <c r="D25" s="475" t="s">
        <v>1190</v>
      </c>
      <c r="E25" s="3387"/>
      <c r="F25" s="321"/>
      <c r="G25" s="2315"/>
      <c r="H25" s="2702" t="s">
        <v>2723</v>
      </c>
      <c r="I25" s="2719" t="s">
        <v>542</v>
      </c>
      <c r="J25" s="696" t="e">
        <f ca="1">J5-J16</f>
        <v>#N/A</v>
      </c>
      <c r="K25" s="2720" t="s">
        <v>543</v>
      </c>
      <c r="L25" s="2721"/>
      <c r="M25" s="2722"/>
    </row>
    <row r="26" spans="1:37" ht="18" customHeight="1">
      <c r="A26" s="2465" t="s">
        <v>2740</v>
      </c>
      <c r="B26" s="688" t="s">
        <v>2929</v>
      </c>
      <c r="C26" s="319" t="e">
        <f ca="1">ROUND((C19+C20)*F26,0)</f>
        <v>#N/A</v>
      </c>
      <c r="D26" s="713" t="s">
        <v>1193</v>
      </c>
      <c r="E26" s="699" t="s">
        <v>1194</v>
      </c>
      <c r="F26" s="698" t="e">
        <f ca="1">INDIRECT("'数据-取费表'!q"&amp;$G$1)</f>
        <v>#N/A</v>
      </c>
      <c r="G26" s="2315"/>
      <c r="H26" s="685" t="s">
        <v>2726</v>
      </c>
      <c r="I26" s="686" t="s">
        <v>1195</v>
      </c>
      <c r="J26" s="687" t="e">
        <f ca="1">IF(J5&lt;&gt;0,ROUND(J25*(1-((1+M28)/(1+M26))^M27)/(M26-M28),0),0)</f>
        <v>#N/A</v>
      </c>
      <c r="K26" s="714" t="s">
        <v>538</v>
      </c>
      <c r="L26" s="688" t="s">
        <v>539</v>
      </c>
      <c r="M26" s="698" t="e">
        <f ca="1">INDIRECT("'数据-取费表'!I"&amp;$G$1)</f>
        <v>#N/A</v>
      </c>
    </row>
    <row r="27" spans="1:37" ht="18" customHeight="1">
      <c r="A27" s="2465" t="s">
        <v>2746</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2748</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2749</v>
      </c>
      <c r="B29" s="2715" t="s">
        <v>1206</v>
      </c>
      <c r="C29" s="2716" t="e">
        <f ca="1">ROUND((C19+C20+C23+C26)/(1-F21-C24-C27-C28),0)</f>
        <v>#N/A</v>
      </c>
      <c r="D29" s="2717"/>
      <c r="E29" s="2715"/>
      <c r="F29" s="2718"/>
      <c r="G29" s="2316"/>
      <c r="H29" s="724" t="s">
        <v>2733</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2708</v>
      </c>
      <c r="B30" s="2703" t="s">
        <v>1164</v>
      </c>
      <c r="C30" s="696" t="e">
        <f ca="1">ROUND(C31+C36+C37+C38,0)</f>
        <v>#N/A</v>
      </c>
      <c r="D30" s="2712" t="s">
        <v>1165</v>
      </c>
      <c r="E30" s="2713"/>
      <c r="F30" s="2663"/>
      <c r="G30" s="2315"/>
      <c r="H30" s="1282"/>
      <c r="I30" s="1283"/>
      <c r="J30" s="1284"/>
      <c r="K30" s="1285"/>
      <c r="L30" s="1286"/>
      <c r="M30" s="1287"/>
    </row>
    <row r="31" spans="1:37" ht="18" customHeight="1">
      <c r="A31" s="2465" t="s">
        <v>2743</v>
      </c>
      <c r="B31" s="688" t="s">
        <v>528</v>
      </c>
      <c r="C31" s="319" t="e">
        <f ca="1">ROUND(IF(项目基本情况!B11="自然人",C5*F31,C32+C33+C34),1)</f>
        <v>#N/A</v>
      </c>
      <c r="D31" s="3384" t="s">
        <v>1168</v>
      </c>
      <c r="E31" s="3383" t="s">
        <v>1207</v>
      </c>
      <c r="F31" s="712" t="str">
        <f ca="1">IF(项目基本情况!B11="企业","",IF(INDIRECT("'数据-取费表'!c"&amp;$G$1)="住宅",4.5%,IF(F6*F7*F8/12&gt;20000,11%,6%)))</f>
        <v/>
      </c>
      <c r="G31" s="2315"/>
      <c r="H31" s="1282"/>
      <c r="I31" s="1283"/>
      <c r="J31" s="1284"/>
      <c r="K31" s="1285"/>
      <c r="L31" s="1286"/>
      <c r="M31" s="1287"/>
    </row>
    <row r="32" spans="1:37" ht="18" customHeight="1">
      <c r="A32" s="2465" t="s">
        <v>2740</v>
      </c>
      <c r="B32" s="688" t="s">
        <v>1170</v>
      </c>
      <c r="C32" s="319" t="e">
        <f ca="1">IF(项目基本情况!B11="自然人","——",ROUND(C5*F32/(1+'数据-取费表'!B42),2))</f>
        <v>#N/A</v>
      </c>
      <c r="D32" s="3383" t="s">
        <v>1171</v>
      </c>
      <c r="E32" s="688" t="s">
        <v>530</v>
      </c>
      <c r="F32" s="721">
        <f>'数据-取费表'!B41</f>
        <v>5.6000000000000001E-2</v>
      </c>
      <c r="G32" s="2315"/>
      <c r="H32" s="1288"/>
      <c r="I32" s="1289"/>
      <c r="J32" s="1290"/>
      <c r="K32" s="1291"/>
      <c r="L32" s="1292"/>
      <c r="M32" s="1293"/>
    </row>
    <row r="33" spans="1:18" ht="18" customHeight="1">
      <c r="A33" s="2465" t="s">
        <v>3008</v>
      </c>
      <c r="B33" s="688" t="s">
        <v>1173</v>
      </c>
      <c r="C33" s="319" t="e">
        <f ca="1">IF(项目基本情况!B11="自然人","——",IF(D33="按租金收入计税",ROUND(C5*F33,2),IF(D33="按房产原值计税",ROUND(C29*F33*0.7,2),INDIRECT("'数据-取费表'!Aj"&amp;$G$1))))</f>
        <v>#N/A</v>
      </c>
      <c r="D33" s="1305" t="s">
        <v>2793</v>
      </c>
      <c r="E33" s="688" t="s">
        <v>530</v>
      </c>
      <c r="F33" s="711">
        <f>IF(D33="按票据","——",IF(D33="按租金收入计税",'数据-取费表'!B51,'数据-取费表'!B50))</f>
        <v>1.2E-2</v>
      </c>
      <c r="G33" s="2315"/>
      <c r="H33" s="1294"/>
      <c r="I33" s="2920"/>
      <c r="J33" s="2921"/>
      <c r="K33" s="1295"/>
      <c r="L33" s="1294"/>
      <c r="M33" s="1294"/>
    </row>
    <row r="34" spans="1:18" ht="18" customHeight="1">
      <c r="A34" s="2657" t="s">
        <v>3009</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2750</v>
      </c>
      <c r="B36" s="688" t="s">
        <v>1183</v>
      </c>
      <c r="C36" s="319" t="e">
        <f ca="1">ROUND(C29*F36,1)</f>
        <v>#N/A</v>
      </c>
      <c r="D36" s="3383" t="s">
        <v>1213</v>
      </c>
      <c r="E36" s="688" t="s">
        <v>530</v>
      </c>
      <c r="F36" s="718" t="e">
        <f ca="1">INDIRECT("'数据-取费表'!Ak"&amp;$G$1)</f>
        <v>#N/A</v>
      </c>
      <c r="G36" s="2315"/>
      <c r="H36" s="1294"/>
      <c r="I36" s="2920"/>
      <c r="J36" s="2921"/>
      <c r="K36" s="1298"/>
      <c r="L36" s="1294"/>
      <c r="M36" s="1294"/>
    </row>
    <row r="37" spans="1:18" ht="18" customHeight="1">
      <c r="A37" s="2465" t="s">
        <v>3013</v>
      </c>
      <c r="B37" s="688" t="s">
        <v>533</v>
      </c>
      <c r="C37" s="319" t="e">
        <f ca="1">ROUND(C13*F37,1)</f>
        <v>#N/A</v>
      </c>
      <c r="D37" s="3383" t="s">
        <v>534</v>
      </c>
      <c r="E37" s="688" t="s">
        <v>530</v>
      </c>
      <c r="F37" s="720" t="e">
        <f ca="1">INDIRECT("'数据-取费表'!Al"&amp;$G$1)</f>
        <v>#N/A</v>
      </c>
      <c r="G37" s="2315"/>
      <c r="H37" s="1294"/>
      <c r="I37" s="2920"/>
      <c r="J37" s="2921"/>
      <c r="K37" s="1298"/>
      <c r="L37" s="1294"/>
      <c r="M37" s="1294"/>
    </row>
    <row r="38" spans="1:18" ht="18" customHeight="1" thickBot="1">
      <c r="A38" s="2714" t="s">
        <v>3014</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2723</v>
      </c>
      <c r="B39" s="2719" t="s">
        <v>542</v>
      </c>
      <c r="C39" s="696" t="e">
        <f ca="1">C5-C30</f>
        <v>#N/A</v>
      </c>
      <c r="D39" s="2720" t="s">
        <v>543</v>
      </c>
      <c r="E39" s="2721"/>
      <c r="F39" s="2722"/>
      <c r="G39" s="2315"/>
      <c r="H39" s="1294"/>
      <c r="I39" s="2920"/>
      <c r="J39" s="2921"/>
      <c r="K39" s="1299"/>
      <c r="L39" s="1294"/>
      <c r="M39" s="1294"/>
    </row>
    <row r="40" spans="1:18" ht="18" customHeight="1">
      <c r="A40" s="685" t="s">
        <v>2726</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2733</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2876</v>
      </c>
      <c r="P45" s="1300"/>
      <c r="Q45" s="1300"/>
      <c r="R45" s="1300"/>
    </row>
    <row r="46" spans="1:18" s="1480" customFormat="1" ht="21" thickBot="1">
      <c r="A46" s="2423" t="s">
        <v>2695</v>
      </c>
      <c r="B46" s="2424"/>
      <c r="C46" s="2761" t="e">
        <f ca="1">C68-C40</f>
        <v>#N/A</v>
      </c>
      <c r="D46" s="2762" t="str">
        <f>C2</f>
        <v>万元</v>
      </c>
      <c r="E46" s="1437"/>
      <c r="F46" s="1437"/>
      <c r="I46" s="2609" t="s">
        <v>2809</v>
      </c>
      <c r="J46" s="2610"/>
      <c r="K46" s="2611"/>
      <c r="L46" s="2613" t="e">
        <f ca="1">IF(M47="住宅",0,IF(L48&gt;J51,L60,J60))</f>
        <v>#N/A</v>
      </c>
      <c r="O46" s="2625" t="s">
        <v>2854</v>
      </c>
      <c r="P46" s="2626" t="s">
        <v>2855</v>
      </c>
      <c r="Q46" s="2627" t="s">
        <v>2853</v>
      </c>
      <c r="R46" s="2627" t="s">
        <v>2856</v>
      </c>
    </row>
    <row r="47" spans="1:18" s="1480" customFormat="1" ht="15.75" thickBot="1">
      <c r="A47" s="2425" t="s">
        <v>1148</v>
      </c>
      <c r="B47" s="2461" t="s">
        <v>1149</v>
      </c>
      <c r="C47" s="2766" t="s">
        <v>1150</v>
      </c>
      <c r="D47" s="2461" t="s">
        <v>1151</v>
      </c>
      <c r="E47" s="2565" t="s">
        <v>1152</v>
      </c>
      <c r="F47" s="2566"/>
      <c r="G47" s="1482"/>
      <c r="I47" s="2584" t="s">
        <v>2802</v>
      </c>
      <c r="J47" s="2585" t="s">
        <v>131</v>
      </c>
      <c r="K47" s="2594" t="s">
        <v>2825</v>
      </c>
      <c r="L47" s="2595" t="e">
        <f ca="1">INDIRECT("'数据-取费表'!d"&amp;$G$1)</f>
        <v>#N/A</v>
      </c>
      <c r="M47" s="2615" t="str">
        <f>IF(ISNUMBER(FIND("住宅",C1)),"住宅","非住宅")</f>
        <v>非住宅</v>
      </c>
      <c r="O47" s="2618" t="s">
        <v>2838</v>
      </c>
      <c r="P47" s="2628" t="s">
        <v>2857</v>
      </c>
      <c r="Q47" s="2619" t="e">
        <f ca="1">C40+J29</f>
        <v>#N/A</v>
      </c>
      <c r="R47" s="2619" t="s">
        <v>2858</v>
      </c>
    </row>
    <row r="48" spans="1:18" s="1480" customFormat="1" ht="47.25" thickBot="1">
      <c r="A48" s="2747" t="s">
        <v>3019</v>
      </c>
      <c r="B48" s="686" t="s">
        <v>2702</v>
      </c>
      <c r="C48" s="3386" t="e">
        <f ca="1">C49+C53+C55</f>
        <v>#N/A</v>
      </c>
      <c r="D48" s="2751"/>
      <c r="E48" s="2752"/>
      <c r="F48" s="2445"/>
      <c r="G48" s="1482"/>
      <c r="H48" s="1483"/>
      <c r="I48" s="2574" t="s">
        <v>2803</v>
      </c>
      <c r="J48" s="2586" t="s">
        <v>2804</v>
      </c>
      <c r="K48" s="2596" t="s">
        <v>908</v>
      </c>
      <c r="L48" s="2192" t="e">
        <f ca="1">INDIRECT("'数据-取费表'!f"&amp;$G$1)</f>
        <v>#N/A</v>
      </c>
      <c r="O48" s="2618" t="s">
        <v>2839</v>
      </c>
      <c r="P48" s="2628" t="s">
        <v>2859</v>
      </c>
      <c r="Q48" s="2619" t="e">
        <f ca="1">J60</f>
        <v>#N/A</v>
      </c>
      <c r="R48" s="2619" t="s">
        <v>2867</v>
      </c>
    </row>
    <row r="49" spans="1:18" s="1480" customFormat="1" ht="16.5" thickBot="1">
      <c r="A49" s="2458" t="s">
        <v>3020</v>
      </c>
      <c r="B49" s="2750" t="s">
        <v>3022</v>
      </c>
      <c r="C49" s="2759" t="e">
        <f ca="1">ROUND(F49*F51*F50*(1-F52)/10000,0)</f>
        <v>#N/A</v>
      </c>
      <c r="D49" s="2561" t="s">
        <v>2703</v>
      </c>
      <c r="E49" s="2564" t="s">
        <v>2696</v>
      </c>
      <c r="F49" s="2567">
        <v>1500</v>
      </c>
      <c r="G49" s="1484"/>
      <c r="H49" s="1483"/>
      <c r="I49" s="2574" t="s">
        <v>2823</v>
      </c>
      <c r="J49" s="3312">
        <v>2018</v>
      </c>
      <c r="K49" s="2597" t="s">
        <v>2828</v>
      </c>
      <c r="L49" s="2598">
        <v>5000</v>
      </c>
      <c r="O49" s="2620" t="s">
        <v>2840</v>
      </c>
      <c r="P49" s="2628" t="s">
        <v>2860</v>
      </c>
      <c r="Q49" s="2619" t="e">
        <f ca="1">C29</f>
        <v>#N/A</v>
      </c>
      <c r="R49" s="2619" t="s">
        <v>2858</v>
      </c>
    </row>
    <row r="50" spans="1:18" s="1480" customFormat="1" ht="15.75" thickBot="1">
      <c r="A50" s="2459"/>
      <c r="B50" s="2462"/>
      <c r="C50" s="2767"/>
      <c r="D50" s="2432"/>
      <c r="E50" s="2562" t="s">
        <v>1154</v>
      </c>
      <c r="F50" s="2563" t="e">
        <f ca="1">F7</f>
        <v>#N/A</v>
      </c>
      <c r="H50" s="1483"/>
      <c r="I50" s="2574" t="s">
        <v>2805</v>
      </c>
      <c r="J50" s="2588">
        <f>SUMPRODUCT((I63:I65=J47)*(J62:L62=J48)*(J63:L65))</f>
        <v>60</v>
      </c>
      <c r="K50" s="2597" t="s">
        <v>2829</v>
      </c>
      <c r="L50" s="2598">
        <v>0</v>
      </c>
      <c r="M50" s="2592"/>
      <c r="O50" s="2620" t="s">
        <v>2841</v>
      </c>
      <c r="P50" s="2628" t="s">
        <v>2868</v>
      </c>
      <c r="Q50" s="2621">
        <f>J58</f>
        <v>0.4</v>
      </c>
      <c r="R50" s="2619"/>
    </row>
    <row r="51" spans="1:18" s="1480" customFormat="1" ht="15.75" thickBot="1">
      <c r="A51" s="2460"/>
      <c r="B51" s="2462"/>
      <c r="C51" s="2463"/>
      <c r="D51" s="2432"/>
      <c r="E51" s="2464" t="s">
        <v>1155</v>
      </c>
      <c r="F51" s="689" t="e">
        <f ca="1">F8</f>
        <v>#N/A</v>
      </c>
      <c r="I51" s="2589" t="s">
        <v>2810</v>
      </c>
      <c r="J51" s="2590">
        <f>IF(J49="",J50,J49+J50-YEAR('数据-取费表'!B2))</f>
        <v>61</v>
      </c>
      <c r="K51" s="2599" t="s">
        <v>2830</v>
      </c>
      <c r="L51" s="2612" t="e">
        <f ca="1">ROUND(-PV(INDIRECT("'数据-取费表'!h"&amp;$G$1),L48,(C39-C13*C76),0),0)</f>
        <v>#N/A</v>
      </c>
      <c r="M51" s="2593"/>
      <c r="O51" s="2620" t="s">
        <v>2842</v>
      </c>
      <c r="P51" s="2628" t="s">
        <v>2869</v>
      </c>
      <c r="Q51" s="2621">
        <f>J52</f>
        <v>0.09</v>
      </c>
      <c r="R51" s="2619"/>
    </row>
    <row r="52" spans="1:18" s="1480" customFormat="1" ht="16.5" thickBot="1">
      <c r="A52" s="2460"/>
      <c r="B52" s="2462"/>
      <c r="C52" s="2463"/>
      <c r="D52" s="2432"/>
      <c r="E52" s="2464" t="s">
        <v>1156</v>
      </c>
      <c r="F52" s="2560">
        <v>0.1</v>
      </c>
      <c r="I52" s="2591" t="s">
        <v>2834</v>
      </c>
      <c r="J52" s="3311">
        <v>0.09</v>
      </c>
      <c r="K52" s="2591" t="s">
        <v>2818</v>
      </c>
      <c r="L52" s="2605">
        <v>0.04</v>
      </c>
      <c r="M52" s="2424"/>
      <c r="O52" s="2620" t="s">
        <v>2843</v>
      </c>
      <c r="P52" s="2628" t="s">
        <v>2861</v>
      </c>
      <c r="Q52" s="2619" t="e">
        <f ca="1">J53</f>
        <v>#N/A</v>
      </c>
      <c r="R52" s="2619" t="s">
        <v>2862</v>
      </c>
    </row>
    <row r="53" spans="1:18" s="1480" customFormat="1" ht="43.5" thickBot="1">
      <c r="A53" s="2865" t="s">
        <v>3021</v>
      </c>
      <c r="B53" s="437" t="s">
        <v>2931</v>
      </c>
      <c r="C53" s="702" t="e">
        <f ca="1">ROUND(IF(F53="押一",F49*F51*F50/12*F11,IF(F53="押二",F49*F51*F50/12*2*F11,IF(F53="押三",F49*F51*F50/12*3*F11,C54*F11)))/10000,0)</f>
        <v>#N/A</v>
      </c>
      <c r="D53" s="2669" t="s">
        <v>2939</v>
      </c>
      <c r="E53" s="2121" t="s">
        <v>2933</v>
      </c>
      <c r="F53" s="2867" t="s">
        <v>3025</v>
      </c>
      <c r="I53" s="2601" t="s">
        <v>2836</v>
      </c>
      <c r="J53" s="2602" t="e">
        <f ca="1">IF(M47="住宅",J51,MIN(J51,L48))</f>
        <v>#N/A</v>
      </c>
      <c r="K53" s="366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64"/>
      <c r="O53" s="2618" t="s">
        <v>2844</v>
      </c>
      <c r="P53" s="2628" t="s">
        <v>2863</v>
      </c>
      <c r="Q53" s="2619" t="e">
        <f ca="1">Q47+Q48</f>
        <v>#N/A</v>
      </c>
      <c r="R53" s="2619" t="s">
        <v>2845</v>
      </c>
    </row>
    <row r="54" spans="1:18" s="1480" customFormat="1" ht="16.5" thickBot="1">
      <c r="A54" s="2866"/>
      <c r="B54" s="2659" t="s">
        <v>3099</v>
      </c>
      <c r="C54" s="2442"/>
      <c r="D54" s="2669"/>
      <c r="E54" s="3385"/>
      <c r="F54" s="2568"/>
      <c r="I54" s="2439"/>
      <c r="J54" s="2600"/>
      <c r="K54" s="2600"/>
      <c r="L54" s="2600"/>
      <c r="M54" s="1484"/>
      <c r="O54" s="2622" t="s">
        <v>2870</v>
      </c>
      <c r="P54" s="1300"/>
      <c r="Q54" s="1300"/>
      <c r="R54" s="1300"/>
    </row>
    <row r="55" spans="1:18" s="1480" customFormat="1" ht="16.5" thickBot="1">
      <c r="A55" s="2706" t="s">
        <v>2944</v>
      </c>
      <c r="B55" s="2707" t="s">
        <v>2932</v>
      </c>
      <c r="C55" s="2708"/>
      <c r="D55" s="2669"/>
      <c r="E55" s="3385"/>
      <c r="F55" s="2568"/>
      <c r="I55" s="2571" t="s">
        <v>2811</v>
      </c>
      <c r="J55" s="2572"/>
      <c r="K55" s="2582" t="s">
        <v>2812</v>
      </c>
      <c r="L55" s="2604" t="s">
        <v>2852</v>
      </c>
      <c r="O55" s="2625" t="s">
        <v>2854</v>
      </c>
      <c r="P55" s="2626" t="s">
        <v>2855</v>
      </c>
      <c r="Q55" s="2627" t="s">
        <v>2853</v>
      </c>
      <c r="R55" s="2627" t="s">
        <v>2856</v>
      </c>
    </row>
    <row r="56" spans="1:18" s="1480" customFormat="1" ht="44.25" thickTop="1" thickBot="1">
      <c r="A56" s="2436">
        <v>2</v>
      </c>
      <c r="B56" s="2437" t="s">
        <v>1157</v>
      </c>
      <c r="C56" s="612" t="e">
        <f ca="1">C13</f>
        <v>#N/A</v>
      </c>
      <c r="D56" s="2734"/>
      <c r="E56" s="2438"/>
      <c r="F56" s="2568"/>
      <c r="I56" s="2573" t="s">
        <v>2813</v>
      </c>
      <c r="J56" s="2603" t="s">
        <v>44</v>
      </c>
      <c r="K56" s="2574" t="s">
        <v>2817</v>
      </c>
      <c r="L56" s="2192" t="e">
        <f ca="1">IF(L48&lt;J51,"——",L48-J51)</f>
        <v>#N/A</v>
      </c>
      <c r="O56" s="2618" t="s">
        <v>2838</v>
      </c>
      <c r="P56" s="2628" t="s">
        <v>2857</v>
      </c>
      <c r="Q56" s="2619" t="e">
        <f ca="1">C40+J29</f>
        <v>#N/A</v>
      </c>
      <c r="R56" s="2619" t="s">
        <v>2858</v>
      </c>
    </row>
    <row r="57" spans="1:18" s="1480" customFormat="1" ht="29.25" thickBot="1">
      <c r="A57" s="2569"/>
      <c r="B57" s="2429" t="s">
        <v>1206</v>
      </c>
      <c r="C57" s="618" t="e">
        <f ca="1">C29</f>
        <v>#N/A</v>
      </c>
      <c r="D57" s="2440"/>
      <c r="E57" s="2441"/>
      <c r="F57" s="2570"/>
      <c r="I57" s="2575" t="s">
        <v>2835</v>
      </c>
      <c r="J57" s="2579" t="e">
        <f ca="1">IF(OR(M47="住宅",J51&lt;L48,J56="是"),"——",J51-L48)</f>
        <v>#N/A</v>
      </c>
      <c r="K57" s="2574" t="s">
        <v>3307</v>
      </c>
      <c r="L57" s="2192" t="e">
        <f ca="1">IF(L48&lt;J51,"——",IF(L55="比较法",L49,IF(L55="基准地价",L50,L51)))</f>
        <v>#N/A</v>
      </c>
      <c r="O57" s="2618" t="s">
        <v>2839</v>
      </c>
      <c r="P57" s="2628" t="s">
        <v>2864</v>
      </c>
      <c r="Q57" s="2619" t="e">
        <f ca="1">L60</f>
        <v>#N/A</v>
      </c>
      <c r="R57" s="2619" t="s">
        <v>2879</v>
      </c>
    </row>
    <row r="58" spans="1:18" s="1480" customFormat="1" ht="29.25" thickBot="1">
      <c r="A58" s="701" t="s">
        <v>2708</v>
      </c>
      <c r="B58" s="2437" t="s">
        <v>1164</v>
      </c>
      <c r="C58" s="702" t="e">
        <f ca="1">ROUND(C59+C64+C65+C66,0)</f>
        <v>#N/A</v>
      </c>
      <c r="D58" s="2443" t="s">
        <v>1165</v>
      </c>
      <c r="E58" s="2444"/>
      <c r="F58" s="2445"/>
      <c r="I58" s="2575" t="s">
        <v>2814</v>
      </c>
      <c r="J58" s="3310">
        <v>0.4</v>
      </c>
      <c r="K58" s="2599" t="s">
        <v>3308</v>
      </c>
      <c r="L58" s="2192">
        <f ca="1">IF(ISERROR(POWER(1+L52,L47-L48)*(POWER(1+L52,L48)-1)/(POWER(1+L52,L47)-1)),0,POWER(1+L52,L47-L48)*(POWER(1+L52,L48)-1)/(POWER(1+L52,L47)-1))</f>
        <v>0</v>
      </c>
      <c r="O58" s="2620" t="s">
        <v>2840</v>
      </c>
      <c r="P58" s="2628" t="s">
        <v>2871</v>
      </c>
      <c r="Q58" s="2619">
        <f>IF(L55="比较法",L49,IF(L55="基准地价",L50,0))</f>
        <v>5000</v>
      </c>
      <c r="R58" s="2619" t="s">
        <v>2858</v>
      </c>
    </row>
    <row r="59" spans="1:18" s="1480" customFormat="1" ht="29.25" thickBot="1">
      <c r="A59" s="2465" t="s">
        <v>2743</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2815</v>
      </c>
      <c r="J59" s="2579" t="e">
        <f ca="1">IF(OR(M47="住宅",J51&lt;L48,J56="是"),"——",ROUND(C29*J58,0))</f>
        <v>#N/A</v>
      </c>
      <c r="K59" s="2599" t="s">
        <v>3309</v>
      </c>
      <c r="L59" s="2192">
        <f ca="1">IF(ISERROR(POWER(1+L52,L47-J51)*(POWER(1+L52,J51)-1)/(POWER(1+L52,L47)-1)),0,POWER(1+L52,L47-J51)*(POWER(1+L52,J51)-1)/(POWER(1+L52,L47)-1))</f>
        <v>0</v>
      </c>
      <c r="O59" s="2620" t="s">
        <v>2841</v>
      </c>
      <c r="P59" s="2628" t="s">
        <v>2872</v>
      </c>
      <c r="Q59" s="2621">
        <f>L52</f>
        <v>0.04</v>
      </c>
      <c r="R59" s="2619"/>
    </row>
    <row r="60" spans="1:18" s="1480" customFormat="1" ht="20.25" thickBot="1">
      <c r="A60" s="2465" t="s">
        <v>2740</v>
      </c>
      <c r="B60" s="2429" t="s">
        <v>1170</v>
      </c>
      <c r="C60" s="319" t="e">
        <f ca="1">IF(项目基本情况!B11="自然人","——",ROUND(C48*F60/(1+'数据-取费表'!B42),2))</f>
        <v>#N/A</v>
      </c>
      <c r="D60" s="2447" t="s">
        <v>1171</v>
      </c>
      <c r="E60" s="2429" t="s">
        <v>530</v>
      </c>
      <c r="F60" s="721">
        <f t="shared" ref="F60:F66" si="0">F32</f>
        <v>5.6000000000000001E-2</v>
      </c>
      <c r="I60" s="2576" t="s">
        <v>2816</v>
      </c>
      <c r="J60" s="2581" t="e">
        <f ca="1">IF(OR(M47="住宅",J51&lt;L48,J56="是"),"0",ROUND(J59/(1+J52)^J53,0))</f>
        <v>#N/A</v>
      </c>
      <c r="K60" s="2583" t="s">
        <v>2819</v>
      </c>
      <c r="L60" s="2581" t="e">
        <f ca="1">IF(OR(M47="住宅",L48&lt;J51),0,ROUND(L57*(L58/L59-1),0))</f>
        <v>#N/A</v>
      </c>
      <c r="O60" s="2620" t="s">
        <v>2842</v>
      </c>
      <c r="P60" s="2628" t="s">
        <v>2873</v>
      </c>
      <c r="Q60" s="2619">
        <f ca="1">L58</f>
        <v>0</v>
      </c>
      <c r="R60" s="2619" t="s">
        <v>2847</v>
      </c>
    </row>
    <row r="61" spans="1:18" s="1480" customFormat="1" ht="20.25" thickBot="1">
      <c r="A61" s="2465" t="s">
        <v>2741</v>
      </c>
      <c r="B61" s="2429" t="s">
        <v>1173</v>
      </c>
      <c r="C61" s="319" t="e">
        <f ca="1">IF(项目基本情况!B11="自然人","——",IF(D61="按租金收入计税",ROUND(C48*F61,2),IF(D61="按房产原值计税",ROUND(C57*F61*0.7,2),INDIRECT("'数据-取费表'!Aj"&amp;$G$1))))</f>
        <v>#N/A</v>
      </c>
      <c r="D61" s="1305" t="s">
        <v>2793</v>
      </c>
      <c r="E61" s="2429" t="s">
        <v>530</v>
      </c>
      <c r="F61" s="711">
        <f t="shared" si="0"/>
        <v>1.2E-2</v>
      </c>
      <c r="I61" s="2439"/>
      <c r="J61" s="2439"/>
      <c r="K61" s="2439"/>
      <c r="L61" s="2439"/>
      <c r="O61" s="2620" t="s">
        <v>2843</v>
      </c>
      <c r="P61" s="2628" t="s">
        <v>2874</v>
      </c>
      <c r="Q61" s="2619">
        <f ca="1">L59</f>
        <v>0</v>
      </c>
      <c r="R61" s="2619" t="s">
        <v>2848</v>
      </c>
    </row>
    <row r="62" spans="1:18" s="1480" customFormat="1" ht="15.75" thickBot="1">
      <c r="A62" s="2465" t="s">
        <v>2742</v>
      </c>
      <c r="B62" s="2428" t="s">
        <v>1175</v>
      </c>
      <c r="C62" s="320" t="e">
        <f ca="1">IF(项目基本情况!B11="自然人","——",ROUND(F62*F63/10000,2))</f>
        <v>#N/A</v>
      </c>
      <c r="D62" s="2448" t="s">
        <v>1176</v>
      </c>
      <c r="E62" s="2429" t="s">
        <v>1177</v>
      </c>
      <c r="F62" s="715">
        <f t="shared" si="0"/>
        <v>18</v>
      </c>
      <c r="I62" s="2577" t="s">
        <v>2806</v>
      </c>
      <c r="J62" s="2578" t="s">
        <v>2807</v>
      </c>
      <c r="K62" s="2578" t="s">
        <v>2808</v>
      </c>
      <c r="L62" s="2578" t="s">
        <v>2804</v>
      </c>
      <c r="O62" s="2618" t="s">
        <v>2844</v>
      </c>
      <c r="P62" s="2628" t="s">
        <v>2863</v>
      </c>
      <c r="Q62" s="2619" t="e">
        <f ca="1">Q56+Q57</f>
        <v>#N/A</v>
      </c>
      <c r="R62" s="2619" t="s">
        <v>2845</v>
      </c>
    </row>
    <row r="63" spans="1:18" s="1480" customFormat="1" ht="16.5" thickBot="1">
      <c r="A63" s="716"/>
      <c r="B63" s="2435"/>
      <c r="C63" s="324"/>
      <c r="D63" s="2449"/>
      <c r="E63" s="2429" t="s">
        <v>1181</v>
      </c>
      <c r="F63" s="689" t="e">
        <f t="shared" ca="1" si="0"/>
        <v>#N/A</v>
      </c>
      <c r="I63" s="2577" t="s">
        <v>2820</v>
      </c>
      <c r="J63" s="2578">
        <v>70</v>
      </c>
      <c r="K63" s="2578">
        <v>50</v>
      </c>
      <c r="L63" s="2578">
        <v>80</v>
      </c>
      <c r="O63" s="2622" t="s">
        <v>2877</v>
      </c>
      <c r="P63" s="1300"/>
      <c r="Q63" s="1300"/>
      <c r="R63" s="1300"/>
    </row>
    <row r="64" spans="1:18" s="1480" customFormat="1" ht="15.75" thickBot="1">
      <c r="A64" s="2465" t="s">
        <v>2750</v>
      </c>
      <c r="B64" s="2429" t="s">
        <v>1183</v>
      </c>
      <c r="C64" s="319" t="e">
        <f ca="1">ROUND(C57*F64,1)</f>
        <v>#N/A</v>
      </c>
      <c r="D64" s="2447" t="s">
        <v>1213</v>
      </c>
      <c r="E64" s="2429" t="s">
        <v>530</v>
      </c>
      <c r="F64" s="718" t="e">
        <f t="shared" ca="1" si="0"/>
        <v>#N/A</v>
      </c>
      <c r="I64" s="2577" t="s">
        <v>126</v>
      </c>
      <c r="J64" s="2578">
        <v>50</v>
      </c>
      <c r="K64" s="2578">
        <v>35</v>
      </c>
      <c r="L64" s="2578">
        <v>60</v>
      </c>
      <c r="O64" s="2625" t="s">
        <v>2854</v>
      </c>
      <c r="P64" s="2626" t="s">
        <v>2855</v>
      </c>
      <c r="Q64" s="2627" t="s">
        <v>2853</v>
      </c>
      <c r="R64" s="2627" t="s">
        <v>2856</v>
      </c>
    </row>
    <row r="65" spans="1:18" s="1480" customFormat="1" ht="15.75" thickBot="1">
      <c r="A65" s="2465" t="s">
        <v>2744</v>
      </c>
      <c r="B65" s="2429" t="s">
        <v>533</v>
      </c>
      <c r="C65" s="319" t="e">
        <f ca="1">ROUND(C56*F65,1)</f>
        <v>#N/A</v>
      </c>
      <c r="D65" s="2447" t="s">
        <v>534</v>
      </c>
      <c r="E65" s="2429" t="s">
        <v>530</v>
      </c>
      <c r="F65" s="720" t="e">
        <f t="shared" ca="1" si="0"/>
        <v>#N/A</v>
      </c>
      <c r="I65" s="2577" t="s">
        <v>2822</v>
      </c>
      <c r="J65" s="2578">
        <v>40</v>
      </c>
      <c r="K65" s="2578">
        <v>30</v>
      </c>
      <c r="L65" s="2578">
        <v>50</v>
      </c>
      <c r="O65" s="2618" t="s">
        <v>2838</v>
      </c>
      <c r="P65" s="2628" t="s">
        <v>2857</v>
      </c>
      <c r="Q65" s="2619" t="e">
        <f ca="1">C40+J29</f>
        <v>#N/A</v>
      </c>
      <c r="R65" s="2619" t="s">
        <v>2858</v>
      </c>
    </row>
    <row r="66" spans="1:18" s="1480" customFormat="1" ht="20.25" thickBot="1">
      <c r="A66" s="2465" t="s">
        <v>2745</v>
      </c>
      <c r="B66" s="2429" t="s">
        <v>532</v>
      </c>
      <c r="C66" s="319" t="e">
        <f ca="1">ROUND(C48*F66,1)</f>
        <v>#N/A</v>
      </c>
      <c r="D66" s="2447" t="s">
        <v>536</v>
      </c>
      <c r="E66" s="2429" t="s">
        <v>530</v>
      </c>
      <c r="F66" s="698" t="e">
        <f t="shared" ca="1" si="0"/>
        <v>#N/A</v>
      </c>
      <c r="O66" s="2618" t="s">
        <v>2839</v>
      </c>
      <c r="P66" s="2628" t="s">
        <v>2864</v>
      </c>
      <c r="Q66" s="2619" t="e">
        <f ca="1">L60</f>
        <v>#N/A</v>
      </c>
      <c r="R66" s="2619" t="s">
        <v>2846</v>
      </c>
    </row>
    <row r="67" spans="1:18" s="1480" customFormat="1" ht="24.75" thickBot="1">
      <c r="A67" s="2436" t="s">
        <v>2723</v>
      </c>
      <c r="B67" s="2450" t="s">
        <v>542</v>
      </c>
      <c r="C67" s="702" t="e">
        <f ca="1">C48-C58</f>
        <v>#N/A</v>
      </c>
      <c r="D67" s="2446" t="s">
        <v>543</v>
      </c>
      <c r="E67" s="2451"/>
      <c r="F67" s="2452"/>
      <c r="O67" s="2620" t="s">
        <v>2840</v>
      </c>
      <c r="P67" s="2628" t="s">
        <v>2871</v>
      </c>
      <c r="Q67" s="2623" t="e">
        <f ca="1">L51</f>
        <v>#N/A</v>
      </c>
      <c r="R67" s="2624" t="s">
        <v>2881</v>
      </c>
    </row>
    <row r="68" spans="1:18" s="1480" customFormat="1" ht="20.25" thickBot="1">
      <c r="A68" s="2426" t="s">
        <v>2726</v>
      </c>
      <c r="B68" s="2427" t="s">
        <v>544</v>
      </c>
      <c r="C68" s="687" t="e">
        <f ca="1">ROUND(C67*(1-((1+F70)/(1+F68))^F69)/(F68-F70),0)</f>
        <v>#N/A</v>
      </c>
      <c r="D68" s="2448" t="s">
        <v>538</v>
      </c>
      <c r="E68" s="2429" t="s">
        <v>539</v>
      </c>
      <c r="F68" s="698" t="e">
        <f ca="1">F40</f>
        <v>#N/A</v>
      </c>
      <c r="O68" s="2620" t="s">
        <v>2841</v>
      </c>
      <c r="P68" s="2629" t="s">
        <v>2875</v>
      </c>
      <c r="Q68" s="2619" t="e">
        <f ca="1">ROUND(Q69-Q70*Q71,0)</f>
        <v>#N/A</v>
      </c>
      <c r="R68" s="2619" t="s">
        <v>2880</v>
      </c>
    </row>
    <row r="69" spans="1:18" s="1480" customFormat="1" ht="15.75" thickBot="1">
      <c r="A69" s="2430"/>
      <c r="B69" s="2431"/>
      <c r="C69" s="692"/>
      <c r="D69" s="2453" t="s">
        <v>1198</v>
      </c>
      <c r="E69" s="2429" t="s">
        <v>546</v>
      </c>
      <c r="F69" s="723" t="e">
        <f ca="1">F41</f>
        <v>#N/A</v>
      </c>
      <c r="O69" s="2620" t="s">
        <v>2849</v>
      </c>
      <c r="P69" s="2629" t="s">
        <v>2865</v>
      </c>
      <c r="Q69" s="2619" t="e">
        <f ca="1">C39</f>
        <v>#N/A</v>
      </c>
      <c r="R69" s="2619" t="s">
        <v>2858</v>
      </c>
    </row>
    <row r="70" spans="1:18" s="1480" customFormat="1" ht="15.75" thickBot="1">
      <c r="A70" s="2433"/>
      <c r="B70" s="2434"/>
      <c r="C70" s="696"/>
      <c r="D70" s="2449"/>
      <c r="E70" s="2429" t="s">
        <v>547</v>
      </c>
      <c r="F70" s="2560">
        <v>2.5000000000000001E-2</v>
      </c>
      <c r="O70" s="2620" t="s">
        <v>2850</v>
      </c>
      <c r="P70" s="2629" t="s">
        <v>2866</v>
      </c>
      <c r="Q70" s="2619" t="e">
        <f ca="1">C13</f>
        <v>#N/A</v>
      </c>
      <c r="R70" s="2619" t="s">
        <v>2858</v>
      </c>
    </row>
    <row r="71" spans="1:18" s="1480" customFormat="1" ht="15.75" thickBot="1">
      <c r="A71" s="2454" t="s">
        <v>2733</v>
      </c>
      <c r="B71" s="2455" t="s">
        <v>548</v>
      </c>
      <c r="C71" s="726" t="e">
        <f ca="1">ROUND(C68*10000/F71,0)</f>
        <v>#N/A</v>
      </c>
      <c r="D71" s="2456" t="s">
        <v>549</v>
      </c>
      <c r="E71" s="2457" t="s">
        <v>550</v>
      </c>
      <c r="F71" s="729" t="e">
        <f ca="1">F43</f>
        <v>#N/A</v>
      </c>
      <c r="I71" s="2424"/>
      <c r="K71" s="2424"/>
      <c r="O71" s="2620" t="s">
        <v>2851</v>
      </c>
      <c r="P71" s="2629" t="s">
        <v>2878</v>
      </c>
      <c r="Q71" s="2621" t="e">
        <f ca="1">C76</f>
        <v>#N/A</v>
      </c>
      <c r="R71" s="2619"/>
    </row>
    <row r="72" spans="1:18" s="1480" customFormat="1" ht="15.75" thickBot="1">
      <c r="B72" s="1485"/>
      <c r="C72" s="1485"/>
      <c r="I72" s="2424"/>
      <c r="O72" s="2620" t="s">
        <v>2842</v>
      </c>
      <c r="P72" s="2628" t="s">
        <v>2872</v>
      </c>
      <c r="Q72" s="2621">
        <f>L52</f>
        <v>0.04</v>
      </c>
      <c r="R72" s="2619"/>
    </row>
    <row r="73" spans="1:18" ht="20.25" thickBot="1">
      <c r="A73" s="1480"/>
      <c r="B73" s="1485"/>
      <c r="C73" s="1485"/>
      <c r="D73" s="1480"/>
      <c r="E73" s="1480"/>
      <c r="F73" s="1480"/>
      <c r="I73" s="2614"/>
      <c r="O73" s="2620" t="s">
        <v>2843</v>
      </c>
      <c r="P73" s="2628" t="s">
        <v>2873</v>
      </c>
      <c r="Q73" s="2619">
        <f ca="1">L58</f>
        <v>0</v>
      </c>
      <c r="R73" s="2619" t="s">
        <v>2847</v>
      </c>
    </row>
    <row r="74" spans="1:18" ht="20.25" thickBot="1">
      <c r="A74" s="1480"/>
      <c r="B74" s="731" t="s">
        <v>551</v>
      </c>
      <c r="C74" s="732"/>
      <c r="D74" s="1480"/>
      <c r="E74" s="1480"/>
      <c r="F74" s="1480"/>
      <c r="O74" s="2620" t="s">
        <v>2882</v>
      </c>
      <c r="P74" s="2628" t="s">
        <v>2874</v>
      </c>
      <c r="Q74" s="2619">
        <f ca="1">L59</f>
        <v>0</v>
      </c>
      <c r="R74" s="2619" t="s">
        <v>2848</v>
      </c>
    </row>
    <row r="75" spans="1:18" ht="15.75" thickBot="1">
      <c r="A75" s="1480"/>
      <c r="B75" s="733" t="s">
        <v>1211</v>
      </c>
      <c r="C75" s="734" t="e">
        <f ca="1">ROUND(C13*C76,0)</f>
        <v>#N/A</v>
      </c>
      <c r="D75" s="1480"/>
      <c r="E75" s="1480"/>
      <c r="F75" s="1480"/>
      <c r="K75" s="1481"/>
      <c r="L75" s="1480"/>
      <c r="O75" s="2618" t="s">
        <v>2844</v>
      </c>
      <c r="P75" s="2628" t="s">
        <v>2863</v>
      </c>
      <c r="Q75" s="2619" t="e">
        <f ca="1">Q65+Q66</f>
        <v>#N/A</v>
      </c>
      <c r="R75" s="2619" t="s">
        <v>2845</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3106</v>
      </c>
      <c r="C79" s="654" t="e">
        <f ca="1">1-C80</f>
        <v>#N/A</v>
      </c>
    </row>
    <row r="80" spans="1:18">
      <c r="B80" s="2912" t="s">
        <v>3105</v>
      </c>
      <c r="C80" s="654" t="e">
        <f ca="1">ROUND(C75/C39,3)</f>
        <v>#N/A</v>
      </c>
    </row>
    <row r="81" spans="2:3">
      <c r="B81" s="650" t="s">
        <v>552</v>
      </c>
      <c r="C81" s="651"/>
    </row>
    <row r="82" spans="2:3">
      <c r="B82" s="2911" t="s">
        <v>3104</v>
      </c>
      <c r="C82" s="655" t="e">
        <f ca="1">1-C83</f>
        <v>#N/A</v>
      </c>
    </row>
    <row r="83" spans="2:3">
      <c r="B83" s="2911" t="s">
        <v>3103</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24" sqref="I24"/>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177</v>
      </c>
      <c r="D1" s="1278"/>
      <c r="E1" s="2616" t="s">
        <v>763</v>
      </c>
      <c r="F1" s="2617">
        <f ca="1">J53</f>
        <v>38.85</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28432</v>
      </c>
      <c r="C2" s="1304" t="s">
        <v>1415</v>
      </c>
      <c r="D2" s="1280"/>
      <c r="E2" s="2606"/>
      <c r="F2" s="1281"/>
      <c r="G2" s="2314"/>
      <c r="H2" s="1279"/>
      <c r="I2" s="1279"/>
      <c r="J2" s="1279"/>
      <c r="K2" s="1303"/>
      <c r="L2" s="1279"/>
      <c r="M2" s="1279"/>
    </row>
    <row r="3" spans="1:37" ht="18" customHeight="1" thickBot="1">
      <c r="A3" s="679" t="s">
        <v>636</v>
      </c>
      <c r="B3" s="1412">
        <f ca="1">IF(ISERROR(B2*10000/F43),0,ROUND(B2*10000/F43,0))</f>
        <v>44980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2702</v>
      </c>
      <c r="C5" s="2661">
        <f ca="1">C6+C10+C12</f>
        <v>1350</v>
      </c>
      <c r="D5" s="2671" t="s">
        <v>2937</v>
      </c>
      <c r="E5" s="2662"/>
      <c r="F5" s="2663"/>
      <c r="G5" s="2315"/>
      <c r="H5" s="685">
        <v>1</v>
      </c>
      <c r="I5" s="686" t="s">
        <v>2702</v>
      </c>
      <c r="J5" s="2661">
        <f ca="1">J6+J10+J12</f>
        <v>0</v>
      </c>
      <c r="K5" s="2664" t="s">
        <v>2937</v>
      </c>
      <c r="L5" s="2662"/>
      <c r="M5" s="2663"/>
    </row>
    <row r="6" spans="1:37" ht="18" customHeight="1">
      <c r="A6" s="2657" t="s">
        <v>2743</v>
      </c>
      <c r="B6" s="3665" t="s">
        <v>2936</v>
      </c>
      <c r="C6" s="2666">
        <f ca="1">ROUND(F6*F8*F7*(1-F9)/10000,0)</f>
        <v>1350</v>
      </c>
      <c r="D6" s="2660" t="s">
        <v>2938</v>
      </c>
      <c r="E6" s="688" t="s">
        <v>1153</v>
      </c>
      <c r="F6" s="689">
        <f ca="1">INDIRECT("'数据-取费表'!u"&amp;$G$1)</f>
        <v>6.5</v>
      </c>
      <c r="G6" s="2315"/>
      <c r="H6" s="2657" t="s">
        <v>2743</v>
      </c>
      <c r="I6" s="3665" t="s">
        <v>2936</v>
      </c>
      <c r="J6" s="687">
        <f ca="1">ROUND(M6*M8*M7*(1-M9)/10000,0)</f>
        <v>0</v>
      </c>
      <c r="K6" s="2660" t="s">
        <v>2938</v>
      </c>
      <c r="L6" s="688" t="s">
        <v>1153</v>
      </c>
      <c r="M6" s="689">
        <f ca="1">INDIRECT("'数据-取费表'!z"&amp;$G$1)</f>
        <v>0</v>
      </c>
    </row>
    <row r="7" spans="1:37" ht="18" customHeight="1">
      <c r="A7" s="2665"/>
      <c r="B7" s="3666"/>
      <c r="C7" s="2667"/>
      <c r="D7" s="2085"/>
      <c r="E7" s="2668" t="s">
        <v>1154</v>
      </c>
      <c r="F7" s="689">
        <f ca="1">IF(INDIRECT("'数据-取费表'!ah"&amp;$G$1)="",INDIRECT("'数据-取费表'!k"&amp;$G$1),INDIRECT("'数据-取费表'!ah"&amp;$G$1))</f>
        <v>6321.0599999999995</v>
      </c>
      <c r="G7" s="2315"/>
      <c r="H7" s="690"/>
      <c r="I7" s="3666"/>
      <c r="J7" s="692"/>
      <c r="K7" s="693"/>
      <c r="L7" s="688" t="s">
        <v>1154</v>
      </c>
      <c r="M7" s="689">
        <f ca="1">F7</f>
        <v>6321.0599999999995</v>
      </c>
    </row>
    <row r="8" spans="1:37" ht="18" customHeight="1">
      <c r="A8" s="690"/>
      <c r="B8" s="3666"/>
      <c r="C8" s="692"/>
      <c r="D8" s="693"/>
      <c r="E8" s="688" t="s">
        <v>1155</v>
      </c>
      <c r="F8" s="689">
        <f ca="1">INDIRECT("'数据-取费表'!ai"&amp;$G$1)</f>
        <v>365</v>
      </c>
      <c r="G8" s="2315"/>
      <c r="H8" s="690"/>
      <c r="I8" s="3666"/>
      <c r="J8" s="692"/>
      <c r="K8" s="693"/>
      <c r="L8" s="688" t="s">
        <v>1155</v>
      </c>
      <c r="M8" s="689">
        <f ca="1">INDIRECT("'数据-取费表'!ai"&amp;$G$1)</f>
        <v>365</v>
      </c>
    </row>
    <row r="9" spans="1:37" ht="18" customHeight="1">
      <c r="A9" s="690"/>
      <c r="B9" s="3667"/>
      <c r="C9" s="692"/>
      <c r="D9" s="693"/>
      <c r="E9" s="688" t="s">
        <v>1156</v>
      </c>
      <c r="F9" s="698">
        <f ca="1">INDIRECT("'数据-取费表'!w"&amp;$G$1)</f>
        <v>0.1</v>
      </c>
      <c r="G9" s="2315"/>
      <c r="H9" s="690"/>
      <c r="I9" s="3667"/>
      <c r="J9" s="692"/>
      <c r="K9" s="693"/>
      <c r="L9" s="699" t="s">
        <v>1156</v>
      </c>
      <c r="M9" s="700">
        <f ca="1">INDIRECT("'数据-取费表'!ab"&amp;$G$1)</f>
        <v>0</v>
      </c>
    </row>
    <row r="10" spans="1:37" ht="18" customHeight="1">
      <c r="A10" s="2657" t="s">
        <v>2750</v>
      </c>
      <c r="B10" s="2658" t="s">
        <v>2931</v>
      </c>
      <c r="C10" s="702">
        <f ca="1">ROUND(IF(F10="押一",F6*F8*F7/12*F11,IF(F10="押二",F6*F8*F7/12*2*F11,IF(F10="押三",F6*F8*F7/12*3*F11,C11*F11)))/10000,0)</f>
        <v>0</v>
      </c>
      <c r="D10" s="2669" t="s">
        <v>2939</v>
      </c>
      <c r="E10" s="2121" t="s">
        <v>2933</v>
      </c>
      <c r="F10" s="3313" t="s">
        <v>3096</v>
      </c>
      <c r="G10" s="2315"/>
      <c r="H10" s="2657" t="s">
        <v>2750</v>
      </c>
      <c r="I10" s="2658" t="s">
        <v>2931</v>
      </c>
      <c r="J10" s="687">
        <f ca="1">ROUND(IF(M10="押一",M6*M8*M7/12*M11,IF(M10="押二",M6*M8*M7/12*2*M11,IF(M10="押三",M6*M8*M7/12*3*M11,J11*M11)))/10000,0)</f>
        <v>0</v>
      </c>
      <c r="K10" s="2669" t="s">
        <v>2939</v>
      </c>
      <c r="L10" s="2121" t="s">
        <v>2933</v>
      </c>
      <c r="M10" s="2765" t="s">
        <v>3025</v>
      </c>
    </row>
    <row r="11" spans="1:37" ht="18" customHeight="1">
      <c r="A11" s="694"/>
      <c r="B11" s="2659" t="s">
        <v>3099</v>
      </c>
      <c r="C11" s="2442"/>
      <c r="D11" s="2906"/>
      <c r="E11" s="2121" t="s">
        <v>2934</v>
      </c>
      <c r="F11" s="700">
        <f ca="1">'数据-取费表'!B39</f>
        <v>1.4999999999999999E-2</v>
      </c>
      <c r="G11" s="2315"/>
      <c r="H11" s="2670"/>
      <c r="I11" s="2659" t="s">
        <v>3099</v>
      </c>
      <c r="J11" s="2442"/>
      <c r="K11" s="1285"/>
      <c r="L11" s="2121" t="s">
        <v>2934</v>
      </c>
      <c r="M11" s="2120">
        <f ca="1">'数据-取费表'!B39</f>
        <v>1.4999999999999999E-2</v>
      </c>
    </row>
    <row r="12" spans="1:37" ht="18" customHeight="1" thickBot="1">
      <c r="A12" s="2706" t="s">
        <v>2944</v>
      </c>
      <c r="B12" s="2707" t="s">
        <v>2932</v>
      </c>
      <c r="C12" s="2708"/>
      <c r="D12" s="2709"/>
      <c r="E12" s="2710"/>
      <c r="F12" s="2711"/>
      <c r="G12" s="2315"/>
      <c r="H12" s="2706" t="s">
        <v>2944</v>
      </c>
      <c r="I12" s="2707" t="s">
        <v>2932</v>
      </c>
      <c r="J12" s="2708"/>
      <c r="K12" s="2725"/>
      <c r="L12" s="2710"/>
      <c r="M12" s="2726"/>
    </row>
    <row r="13" spans="1:37" ht="18" customHeight="1" thickTop="1">
      <c r="A13" s="2702">
        <v>2</v>
      </c>
      <c r="B13" s="2703" t="s">
        <v>1157</v>
      </c>
      <c r="C13" s="696">
        <f ca="1">ROUND(C29*F13,0)</f>
        <v>2967</v>
      </c>
      <c r="D13" s="2704" t="s">
        <v>1158</v>
      </c>
      <c r="E13" s="2704" t="s">
        <v>1159</v>
      </c>
      <c r="F13" s="2705">
        <f ca="1">INDIRECT("'数据-取费表'!y"&amp;$G$1)</f>
        <v>1</v>
      </c>
      <c r="G13" s="2315"/>
      <c r="H13" s="2702">
        <v>2</v>
      </c>
      <c r="I13" s="2703" t="s">
        <v>1157</v>
      </c>
      <c r="J13" s="2656">
        <f ca="1">ROUND(J14*J15,0)</f>
        <v>0</v>
      </c>
      <c r="K13" s="2712" t="s">
        <v>1158</v>
      </c>
      <c r="L13" s="2723"/>
      <c r="M13" s="2724"/>
    </row>
    <row r="14" spans="1:37" ht="18" customHeight="1">
      <c r="A14" s="2465" t="s">
        <v>2740</v>
      </c>
      <c r="B14" s="688" t="s">
        <v>524</v>
      </c>
      <c r="C14" s="706">
        <f ca="1">INDIRECT("'数据-取费表'!m"&amp;$G$1)+INDIRECT("'数据-取费表'!t"&amp;$G$1)</f>
        <v>1770</v>
      </c>
      <c r="D14" s="3303" t="s">
        <v>1160</v>
      </c>
      <c r="E14" s="3301"/>
      <c r="F14" s="707"/>
      <c r="G14" s="2315"/>
      <c r="H14" s="2465" t="s">
        <v>2743</v>
      </c>
      <c r="I14" s="688" t="s">
        <v>1161</v>
      </c>
      <c r="J14" s="319">
        <f ca="1">C29</f>
        <v>2967</v>
      </c>
      <c r="K14" s="309"/>
      <c r="L14" s="704"/>
      <c r="M14" s="705"/>
    </row>
    <row r="15" spans="1:37" s="710" customFormat="1" ht="18" customHeight="1" thickBot="1">
      <c r="A15" s="2465" t="s">
        <v>3008</v>
      </c>
      <c r="B15" s="688" t="s">
        <v>525</v>
      </c>
      <c r="C15" s="319">
        <f ca="1">ROUND(C14*F15,0)</f>
        <v>53</v>
      </c>
      <c r="D15" s="708" t="s">
        <v>1162</v>
      </c>
      <c r="E15" s="708" t="s">
        <v>535</v>
      </c>
      <c r="F15" s="709">
        <f>'数据-取费表'!B33</f>
        <v>0.03</v>
      </c>
      <c r="G15" s="2316"/>
      <c r="H15" s="2714" t="s">
        <v>2750</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3009</v>
      </c>
      <c r="B16" s="688" t="s">
        <v>526</v>
      </c>
      <c r="C16" s="319">
        <f ca="1">ROUND(INDIRECT("'数据-取费表'!m"&amp;$G$1)*F16,0)</f>
        <v>0</v>
      </c>
      <c r="D16" s="688" t="s">
        <v>1162</v>
      </c>
      <c r="E16" s="688" t="s">
        <v>535</v>
      </c>
      <c r="F16" s="711">
        <f ca="1">IF(INDIRECT("'数据-取费表'!c"&amp;$G$1)="住宅",'数据-取费表'!B34,0)</f>
        <v>0</v>
      </c>
      <c r="G16" s="2315"/>
      <c r="H16" s="2702" t="s">
        <v>2708</v>
      </c>
      <c r="I16" s="2703" t="s">
        <v>1164</v>
      </c>
      <c r="J16" s="696">
        <f ca="1">ROUND(J17+J22+J23+J24,0)</f>
        <v>71</v>
      </c>
      <c r="K16" s="2712" t="s">
        <v>1165</v>
      </c>
      <c r="L16" s="2713"/>
      <c r="M16" s="2663"/>
    </row>
    <row r="17" spans="1:37" s="710" customFormat="1" ht="18" customHeight="1">
      <c r="A17" s="2465" t="s">
        <v>3010</v>
      </c>
      <c r="B17" s="688" t="s">
        <v>527</v>
      </c>
      <c r="C17" s="319">
        <f ca="1">ROUND(F17*(F43+INDIRECT("'数据-取费表'!S"&amp;$G$1))/10000,0)</f>
        <v>126</v>
      </c>
      <c r="D17" s="688" t="s">
        <v>1166</v>
      </c>
      <c r="E17" s="688" t="s">
        <v>1167</v>
      </c>
      <c r="F17" s="321">
        <f>'数据-取费表'!B35</f>
        <v>200</v>
      </c>
      <c r="G17" s="2316"/>
      <c r="H17" s="2465" t="s">
        <v>2743</v>
      </c>
      <c r="I17" s="688" t="s">
        <v>528</v>
      </c>
      <c r="J17" s="319">
        <f ca="1">ROUND(IF(项目基本情况!B11="自然人",J5*M17,J18+J19+J20),1)</f>
        <v>26.9</v>
      </c>
      <c r="K17" s="3303" t="s">
        <v>1168</v>
      </c>
      <c r="L17" s="3302"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3011</v>
      </c>
      <c r="B18" s="688" t="s">
        <v>529</v>
      </c>
      <c r="C18" s="319">
        <f ca="1">ROUND(C14*F18,0)</f>
        <v>27</v>
      </c>
      <c r="D18" s="688" t="s">
        <v>1162</v>
      </c>
      <c r="E18" s="688" t="s">
        <v>535</v>
      </c>
      <c r="F18" s="711">
        <f>'数据-取费表'!B36</f>
        <v>1.4999999999999999E-2</v>
      </c>
      <c r="G18" s="2316"/>
      <c r="H18" s="2465" t="s">
        <v>2740</v>
      </c>
      <c r="I18" s="688" t="s">
        <v>1170</v>
      </c>
      <c r="J18" s="319">
        <f ca="1">ROUND(J5*M18/(1+'数据-取费表'!B42),2)</f>
        <v>0</v>
      </c>
      <c r="K18" s="3302" t="s">
        <v>1171</v>
      </c>
      <c r="L18" s="688" t="s">
        <v>535</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2743</v>
      </c>
      <c r="B19" s="688" t="s">
        <v>531</v>
      </c>
      <c r="C19" s="319">
        <f ca="1">SUM(C14:C18)</f>
        <v>1976</v>
      </c>
      <c r="D19" s="475" t="s">
        <v>1172</v>
      </c>
      <c r="E19" s="3306"/>
      <c r="F19" s="321"/>
      <c r="G19" s="2315"/>
      <c r="H19" s="2465" t="s">
        <v>3008</v>
      </c>
      <c r="I19" s="688" t="s">
        <v>1173</v>
      </c>
      <c r="J19" s="319">
        <f ca="1">IF(K19="按租金收入计税",ROUND(J5*M19,2),ROUND(C29*M19*0.7,2))</f>
        <v>24.92</v>
      </c>
      <c r="K19" s="1305" t="s">
        <v>2793</v>
      </c>
      <c r="L19" s="688" t="s">
        <v>535</v>
      </c>
      <c r="M19" s="711">
        <f>IF(K19="按租金收入计税",'数据-取费表'!B51,'数据-取费表'!B50)</f>
        <v>1.2E-2</v>
      </c>
    </row>
    <row r="20" spans="1:37" s="710" customFormat="1" ht="18" customHeight="1">
      <c r="A20" s="2465" t="s">
        <v>3012</v>
      </c>
      <c r="B20" s="688" t="s">
        <v>532</v>
      </c>
      <c r="C20" s="319">
        <f ca="1">ROUND(C19*F20,0)</f>
        <v>30</v>
      </c>
      <c r="D20" s="713" t="s">
        <v>1174</v>
      </c>
      <c r="E20" s="688" t="s">
        <v>535</v>
      </c>
      <c r="F20" s="711">
        <f>'数据-取费表'!B37</f>
        <v>1.4999999999999999E-2</v>
      </c>
      <c r="G20" s="2316"/>
      <c r="H20" s="2465" t="s">
        <v>3009</v>
      </c>
      <c r="I20" s="500" t="s">
        <v>1175</v>
      </c>
      <c r="J20" s="320">
        <f ca="1">ROUND(M20*M21/10000,2)</f>
        <v>1.95</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3013</v>
      </c>
      <c r="B21" s="688" t="s">
        <v>1178</v>
      </c>
      <c r="C21" s="319" t="s">
        <v>23</v>
      </c>
      <c r="D21" s="713" t="s">
        <v>1179</v>
      </c>
      <c r="E21" s="688" t="s">
        <v>1180</v>
      </c>
      <c r="F21" s="711">
        <f>'数据-取费表'!B38</f>
        <v>0.02</v>
      </c>
      <c r="G21" s="2316"/>
      <c r="H21" s="716"/>
      <c r="I21" s="697"/>
      <c r="J21" s="324"/>
      <c r="K21" s="717"/>
      <c r="L21" s="688" t="s">
        <v>1181</v>
      </c>
      <c r="M21" s="689">
        <f ca="1">INDIRECT("'数据-取费表'!r"&amp;$G$1)</f>
        <v>1081.78</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3014</v>
      </c>
      <c r="B22" s="688" t="s">
        <v>1182</v>
      </c>
      <c r="C22" s="319"/>
      <c r="D22" s="2737" t="str">
        <f>IF(F23&lt;=1,"单利计息。","复利计息。")&amp;"建造成本、管理费用、销售费用产生的利息。"</f>
        <v>复利计息。建造成本、管理费用、销售费用产生的利息。</v>
      </c>
      <c r="E22" s="3306"/>
      <c r="F22" s="321"/>
      <c r="G22" s="2315"/>
      <c r="H22" s="2465" t="s">
        <v>2750</v>
      </c>
      <c r="I22" s="688" t="s">
        <v>1183</v>
      </c>
      <c r="J22" s="319">
        <f ca="1">ROUND(J14*M22,1)</f>
        <v>44.5</v>
      </c>
      <c r="K22" s="3302" t="s">
        <v>1184</v>
      </c>
      <c r="L22" s="688" t="s">
        <v>535</v>
      </c>
      <c r="M22" s="718">
        <f ca="1">INDIRECT("'数据-取费表'!Ak"&amp;$G$1)</f>
        <v>1.4999999999999999E-2</v>
      </c>
    </row>
    <row r="23" spans="1:37" s="710" customFormat="1" ht="18" customHeight="1">
      <c r="A23" s="2465" t="s">
        <v>2740</v>
      </c>
      <c r="B23" s="688" t="s">
        <v>2928</v>
      </c>
      <c r="C23" s="319">
        <f ca="1">IF('数据-取费表'!B22&lt;=1,ROUND(C19*F24*F23/2,0)+ROUND(C20*F24*F23/2,0),ROUND(C19*(POWER((1+F24),F23/2)-1),0)+ROUND(C20*(POWER((1+F24),F23/2)-1),0))</f>
        <v>120</v>
      </c>
      <c r="D23" s="2741" t="str">
        <f>IF(F23&lt;=1,"(建造成本+管理费用)×利率×(建设周期÷2)","(建造成本+管理费用)×((1+利率)^(建设周期÷2)-1)")</f>
        <v>(建造成本+管理费用)×((1+利率)^(建设周期÷2)-1)</v>
      </c>
      <c r="E23" s="688" t="s">
        <v>1185</v>
      </c>
      <c r="F23" s="715">
        <f>'数据-取费表'!B20</f>
        <v>2.5</v>
      </c>
      <c r="G23" s="2316"/>
      <c r="H23" s="2465" t="s">
        <v>3013</v>
      </c>
      <c r="I23" s="688" t="s">
        <v>533</v>
      </c>
      <c r="J23" s="319">
        <f ca="1">ROUND(J13*M23,1)</f>
        <v>0</v>
      </c>
      <c r="K23" s="3302" t="s">
        <v>1186</v>
      </c>
      <c r="L23" s="688" t="s">
        <v>535</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2746</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3014</v>
      </c>
      <c r="I24" s="2715" t="s">
        <v>532</v>
      </c>
      <c r="J24" s="2716">
        <f ca="1">ROUND(J5*M24,1)</f>
        <v>0</v>
      </c>
      <c r="K24" s="2717" t="s">
        <v>536</v>
      </c>
      <c r="L24" s="2715" t="s">
        <v>535</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2747</v>
      </c>
      <c r="B25" s="688" t="s">
        <v>537</v>
      </c>
      <c r="C25" s="319"/>
      <c r="D25" s="475" t="s">
        <v>1190</v>
      </c>
      <c r="E25" s="3306"/>
      <c r="F25" s="321"/>
      <c r="G25" s="2315"/>
      <c r="H25" s="2702" t="s">
        <v>2723</v>
      </c>
      <c r="I25" s="2719" t="s">
        <v>542</v>
      </c>
      <c r="J25" s="696">
        <f ca="1">J5-J16</f>
        <v>-71</v>
      </c>
      <c r="K25" s="2720" t="s">
        <v>543</v>
      </c>
      <c r="L25" s="2721"/>
      <c r="M25" s="2722"/>
    </row>
    <row r="26" spans="1:37" ht="18" customHeight="1">
      <c r="A26" s="2465" t="s">
        <v>2740</v>
      </c>
      <c r="B26" s="688" t="s">
        <v>2929</v>
      </c>
      <c r="C26" s="319">
        <f ca="1">ROUND((C19+C20)*F26,0)</f>
        <v>602</v>
      </c>
      <c r="D26" s="713" t="s">
        <v>1193</v>
      </c>
      <c r="E26" s="699" t="s">
        <v>1194</v>
      </c>
      <c r="F26" s="698">
        <f ca="1">INDIRECT("'数据-取费表'!q"&amp;$G$1)</f>
        <v>0.3</v>
      </c>
      <c r="G26" s="2315"/>
      <c r="H26" s="685" t="s">
        <v>2726</v>
      </c>
      <c r="I26" s="686" t="s">
        <v>1195</v>
      </c>
      <c r="J26" s="687">
        <f ca="1">IF(J5&lt;&gt;0,ROUND(J25*(1-((1+M28)/(1+M26))^M27)/(M26-M28),0),0)</f>
        <v>0</v>
      </c>
      <c r="K26" s="714" t="s">
        <v>1196</v>
      </c>
      <c r="L26" s="688" t="s">
        <v>539</v>
      </c>
      <c r="M26" s="698">
        <f ca="1">INDIRECT("'数据-取费表'!I"&amp;$G$1)</f>
        <v>5.5E-2</v>
      </c>
    </row>
    <row r="27" spans="1:37" ht="18" customHeight="1">
      <c r="A27" s="2465" t="s">
        <v>2746</v>
      </c>
      <c r="B27" s="688" t="s">
        <v>540</v>
      </c>
      <c r="C27" s="319">
        <f ca="1">ROUND(F21*F26,4)</f>
        <v>6.0000000000000001E-3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2748</v>
      </c>
      <c r="B28" s="688" t="s">
        <v>541</v>
      </c>
      <c r="C28" s="319">
        <f>ROUND(F28/(1+'数据-取费表'!B42),4)</f>
        <v>5.33E-2</v>
      </c>
      <c r="D28" s="713" t="s">
        <v>1204</v>
      </c>
      <c r="E28" s="688" t="s">
        <v>535</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2749</v>
      </c>
      <c r="B29" s="2715" t="s">
        <v>1206</v>
      </c>
      <c r="C29" s="2716">
        <f ca="1">ROUND((C19+C20+C23+C26)/(1-F21-C24-C27-C28),0)</f>
        <v>2967</v>
      </c>
      <c r="D29" s="2717"/>
      <c r="E29" s="2715"/>
      <c r="F29" s="2718"/>
      <c r="G29" s="2316"/>
      <c r="H29" s="724" t="s">
        <v>2733</v>
      </c>
      <c r="I29" s="725" t="s">
        <v>1199</v>
      </c>
      <c r="J29" s="726">
        <f ca="1">ROUND(J26/(1+F40)^F41,0)</f>
        <v>0</v>
      </c>
      <c r="K29" s="727" t="s">
        <v>1200</v>
      </c>
      <c r="L29" s="728"/>
      <c r="M29" s="729">
        <f ca="1">INDIRECT("'数据-取费表'!k"&amp;$G$1)</f>
        <v>6321.0599999999995</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2708</v>
      </c>
      <c r="B30" s="2703" t="s">
        <v>1164</v>
      </c>
      <c r="C30" s="696">
        <f ca="1">ROUND(C31+C36+C37+C38,0)</f>
        <v>179</v>
      </c>
      <c r="D30" s="2712" t="s">
        <v>1165</v>
      </c>
      <c r="E30" s="2713"/>
      <c r="F30" s="2663"/>
      <c r="G30" s="2315"/>
      <c r="H30" s="1282"/>
      <c r="I30" s="1283"/>
      <c r="J30" s="1284"/>
      <c r="K30" s="1285"/>
      <c r="L30" s="1286"/>
      <c r="M30" s="1287"/>
    </row>
    <row r="31" spans="1:37" ht="18" customHeight="1">
      <c r="A31" s="2465" t="s">
        <v>2743</v>
      </c>
      <c r="B31" s="688" t="s">
        <v>528</v>
      </c>
      <c r="C31" s="319">
        <f ca="1">ROUND(IF(项目基本情况!B11="自然人",C5*F31,C32+C33+C34),1)</f>
        <v>98.9</v>
      </c>
      <c r="D31" s="3303" t="s">
        <v>1168</v>
      </c>
      <c r="E31" s="3302" t="s">
        <v>1207</v>
      </c>
      <c r="F31" s="712" t="str">
        <f ca="1">IF(项目基本情况!B11="企业","",IF(INDIRECT("'数据-取费表'!c"&amp;$G$1)="住宅",4.5%,IF(F6*F7*F8/12&gt;20000,11%,6%)))</f>
        <v/>
      </c>
      <c r="G31" s="2315"/>
      <c r="H31" s="1282"/>
      <c r="I31" s="1283"/>
      <c r="J31" s="1284"/>
      <c r="K31" s="1285"/>
      <c r="L31" s="1286"/>
      <c r="M31" s="1287"/>
    </row>
    <row r="32" spans="1:37" ht="18" customHeight="1">
      <c r="A32" s="2465" t="s">
        <v>2740</v>
      </c>
      <c r="B32" s="688" t="s">
        <v>1170</v>
      </c>
      <c r="C32" s="319">
        <f ca="1">IF(项目基本情况!B11="自然人","——",ROUND(C5*F32/(1+'数据-取费表'!B42),2))</f>
        <v>72</v>
      </c>
      <c r="D32" s="3302" t="s">
        <v>1171</v>
      </c>
      <c r="E32" s="688" t="s">
        <v>535</v>
      </c>
      <c r="F32" s="721">
        <f>'数据-取费表'!B41</f>
        <v>5.6000000000000001E-2</v>
      </c>
      <c r="G32" s="2315"/>
      <c r="H32" s="1288"/>
      <c r="I32" s="1289"/>
      <c r="J32" s="1290"/>
      <c r="K32" s="1291"/>
      <c r="L32" s="1292"/>
      <c r="M32" s="1293"/>
    </row>
    <row r="33" spans="1:18" ht="18" customHeight="1">
      <c r="A33" s="2465" t="s">
        <v>3008</v>
      </c>
      <c r="B33" s="688" t="s">
        <v>1173</v>
      </c>
      <c r="C33" s="319">
        <f ca="1">IF(项目基本情况!B11="自然人","——",IF(D33="按租金收入计税",ROUND(C5*F33,2),IF(D33="按房产原值计税",ROUND(C29*F33*0.7,2),INDIRECT("'数据-取费表'!Aj"&amp;$G$1))))</f>
        <v>24.92</v>
      </c>
      <c r="D33" s="1305" t="s">
        <v>2793</v>
      </c>
      <c r="E33" s="688" t="s">
        <v>530</v>
      </c>
      <c r="F33" s="711">
        <f>IF(D33="按票据","——",IF(D33="按租金收入计税",'数据-取费表'!B51,'数据-取费表'!B50))</f>
        <v>1.2E-2</v>
      </c>
      <c r="G33" s="2315"/>
      <c r="H33" s="1294"/>
      <c r="I33" s="2920"/>
      <c r="J33" s="2921"/>
      <c r="K33" s="1295"/>
      <c r="L33" s="1294"/>
      <c r="M33" s="1294"/>
    </row>
    <row r="34" spans="1:18" ht="18" customHeight="1">
      <c r="A34" s="2657" t="s">
        <v>3009</v>
      </c>
      <c r="B34" s="500" t="s">
        <v>1175</v>
      </c>
      <c r="C34" s="320">
        <f ca="1">IF(项目基本情况!B11="自然人","——",ROUND(F34*F35/10000,2))</f>
        <v>1.95</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f ca="1">INDIRECT("'数据-取费表'!r"&amp;$G$1)</f>
        <v>1081.78</v>
      </c>
      <c r="G35" s="2315"/>
      <c r="H35" s="1282"/>
      <c r="I35" s="2920"/>
      <c r="J35" s="2921"/>
      <c r="K35" s="1295"/>
      <c r="L35" s="1294"/>
      <c r="M35" s="1294"/>
    </row>
    <row r="36" spans="1:18" ht="18" customHeight="1">
      <c r="A36" s="2731" t="s">
        <v>2750</v>
      </c>
      <c r="B36" s="688" t="s">
        <v>1183</v>
      </c>
      <c r="C36" s="319">
        <f ca="1">ROUND(C29*F36,1)</f>
        <v>44.5</v>
      </c>
      <c r="D36" s="3302" t="s">
        <v>1213</v>
      </c>
      <c r="E36" s="688" t="s">
        <v>535</v>
      </c>
      <c r="F36" s="718">
        <f ca="1">INDIRECT("'数据-取费表'!Ak"&amp;$G$1)</f>
        <v>1.4999999999999999E-2</v>
      </c>
      <c r="G36" s="2315"/>
      <c r="H36" s="1294"/>
      <c r="I36" s="2920"/>
      <c r="J36" s="2921"/>
      <c r="K36" s="1298"/>
      <c r="L36" s="1294"/>
      <c r="M36" s="1294"/>
    </row>
    <row r="37" spans="1:18" ht="18" customHeight="1">
      <c r="A37" s="2465" t="s">
        <v>3013</v>
      </c>
      <c r="B37" s="688" t="s">
        <v>533</v>
      </c>
      <c r="C37" s="319">
        <f ca="1">ROUND(C13*F37,1)</f>
        <v>8.9</v>
      </c>
      <c r="D37" s="3302" t="s">
        <v>534</v>
      </c>
      <c r="E37" s="688" t="s">
        <v>535</v>
      </c>
      <c r="F37" s="720">
        <f ca="1">INDIRECT("'数据-取费表'!Al"&amp;$G$1)</f>
        <v>3.0000000000000001E-3</v>
      </c>
      <c r="G37" s="2315"/>
      <c r="H37" s="1294"/>
      <c r="I37" s="2920"/>
      <c r="J37" s="2921"/>
      <c r="K37" s="1298"/>
      <c r="L37" s="1294"/>
      <c r="M37" s="1294"/>
    </row>
    <row r="38" spans="1:18" ht="18" customHeight="1" thickBot="1">
      <c r="A38" s="2714" t="s">
        <v>3014</v>
      </c>
      <c r="B38" s="2715" t="s">
        <v>532</v>
      </c>
      <c r="C38" s="2716">
        <f ca="1">ROUND(C5*F38,1)</f>
        <v>27</v>
      </c>
      <c r="D38" s="2717" t="s">
        <v>536</v>
      </c>
      <c r="E38" s="2715" t="s">
        <v>535</v>
      </c>
      <c r="F38" s="2711">
        <f ca="1">INDIRECT("'数据-取费表'!Am"&amp;$G$1)</f>
        <v>0.02</v>
      </c>
      <c r="G38" s="2315"/>
      <c r="H38" s="1294"/>
      <c r="I38" s="2920"/>
      <c r="J38" s="2921"/>
      <c r="K38" s="1299"/>
      <c r="L38" s="1294"/>
      <c r="M38" s="1294"/>
    </row>
    <row r="39" spans="1:18" ht="24.6" customHeight="1" thickTop="1">
      <c r="A39" s="2702" t="s">
        <v>2723</v>
      </c>
      <c r="B39" s="2719" t="s">
        <v>542</v>
      </c>
      <c r="C39" s="696">
        <f ca="1">C5-C30</f>
        <v>1171</v>
      </c>
      <c r="D39" s="2720" t="s">
        <v>543</v>
      </c>
      <c r="E39" s="2721"/>
      <c r="F39" s="2722"/>
      <c r="G39" s="2315"/>
      <c r="H39" s="1294"/>
      <c r="I39" s="2920"/>
      <c r="J39" s="2921"/>
      <c r="K39" s="1299"/>
      <c r="L39" s="1294"/>
      <c r="M39" s="1294"/>
    </row>
    <row r="40" spans="1:18" ht="18" customHeight="1">
      <c r="A40" s="685" t="s">
        <v>2726</v>
      </c>
      <c r="B40" s="686" t="s">
        <v>544</v>
      </c>
      <c r="C40" s="687">
        <f ca="1">ROUND(C39*(1-((1+F42)/(1+F40))^F41)/(F40-F42),0)</f>
        <v>28390</v>
      </c>
      <c r="D40" s="714" t="s">
        <v>538</v>
      </c>
      <c r="E40" s="688" t="s">
        <v>539</v>
      </c>
      <c r="F40" s="698">
        <f ca="1">INDIRECT("'数据-取费表'!I"&amp;$G$1)</f>
        <v>5.5E-2</v>
      </c>
      <c r="G40" s="2315"/>
      <c r="H40" s="1300"/>
      <c r="I40" s="2920"/>
      <c r="J40" s="2921"/>
      <c r="K40" s="1299"/>
      <c r="L40" s="1300"/>
      <c r="M40" s="1300"/>
    </row>
    <row r="41" spans="1:18" ht="18" customHeight="1">
      <c r="A41" s="690"/>
      <c r="B41" s="691"/>
      <c r="C41" s="692"/>
      <c r="D41" s="722" t="s">
        <v>545</v>
      </c>
      <c r="E41" s="688" t="s">
        <v>546</v>
      </c>
      <c r="F41" s="723">
        <f ca="1">IF(INDIRECT("'数据-取费表'!af"&amp;$G$1)=0,INDIRECT("'数据-取费表'!ae"&amp;$G$1),INDIRECT("'数据-取费表'!af"&amp;$G$1))</f>
        <v>38.85</v>
      </c>
      <c r="G41" s="2315"/>
      <c r="H41" s="1196"/>
      <c r="I41" s="2920"/>
      <c r="J41" s="2921"/>
      <c r="K41" s="1298"/>
      <c r="L41" s="1196"/>
      <c r="M41" s="1196"/>
    </row>
    <row r="42" spans="1:18" ht="18" customHeight="1">
      <c r="A42" s="694"/>
      <c r="B42" s="695"/>
      <c r="C42" s="696"/>
      <c r="D42" s="717"/>
      <c r="E42" s="688" t="s">
        <v>547</v>
      </c>
      <c r="F42" s="698">
        <f ca="1">INDIRECT("'数据-取费表'!v"&amp;$G$1)</f>
        <v>0.03</v>
      </c>
      <c r="G42" s="2315"/>
      <c r="H42" s="1196"/>
      <c r="I42" s="2920"/>
      <c r="J42" s="2921"/>
      <c r="K42" s="1298"/>
      <c r="L42" s="1196"/>
      <c r="M42" s="1196"/>
    </row>
    <row r="43" spans="1:18" ht="18" customHeight="1" thickBot="1">
      <c r="A43" s="724" t="s">
        <v>2733</v>
      </c>
      <c r="B43" s="725" t="s">
        <v>548</v>
      </c>
      <c r="C43" s="726">
        <f ca="1">ROUND(C40*10000/F43,0)</f>
        <v>44913</v>
      </c>
      <c r="D43" s="727" t="s">
        <v>549</v>
      </c>
      <c r="E43" s="728" t="s">
        <v>550</v>
      </c>
      <c r="F43" s="729">
        <f ca="1">INDIRECT("'数据-取费表'!k"&amp;$G$1)</f>
        <v>6321.0599999999995</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2876</v>
      </c>
      <c r="P45" s="1300"/>
      <c r="Q45" s="1300"/>
      <c r="R45" s="1300"/>
    </row>
    <row r="46" spans="1:18" s="1480" customFormat="1" ht="21" thickBot="1">
      <c r="A46" s="2423" t="s">
        <v>2695</v>
      </c>
      <c r="B46" s="2424"/>
      <c r="C46" s="2761">
        <f ca="1">C68-C40</f>
        <v>6472003</v>
      </c>
      <c r="D46" s="2762" t="str">
        <f>C2</f>
        <v>万元</v>
      </c>
      <c r="E46" s="1437"/>
      <c r="F46" s="1437"/>
      <c r="I46" s="2609" t="s">
        <v>2809</v>
      </c>
      <c r="J46" s="2610"/>
      <c r="K46" s="2611"/>
      <c r="L46" s="2613">
        <f ca="1">IF(M47="住宅",0,IF(L48&gt;J51,L60,J60))</f>
        <v>42</v>
      </c>
      <c r="O46" s="2625" t="s">
        <v>2854</v>
      </c>
      <c r="P46" s="2626" t="s">
        <v>2855</v>
      </c>
      <c r="Q46" s="2627" t="s">
        <v>2853</v>
      </c>
      <c r="R46" s="2627" t="s">
        <v>2856</v>
      </c>
    </row>
    <row r="47" spans="1:18" s="1480" customFormat="1" ht="15.75" thickBot="1">
      <c r="A47" s="2425" t="s">
        <v>1148</v>
      </c>
      <c r="B47" s="2461" t="s">
        <v>1149</v>
      </c>
      <c r="C47" s="2766" t="s">
        <v>1150</v>
      </c>
      <c r="D47" s="2461" t="s">
        <v>1151</v>
      </c>
      <c r="E47" s="2565" t="s">
        <v>1152</v>
      </c>
      <c r="F47" s="2566"/>
      <c r="G47" s="1482"/>
      <c r="I47" s="2584" t="s">
        <v>2802</v>
      </c>
      <c r="J47" s="2585" t="s">
        <v>131</v>
      </c>
      <c r="K47" s="2594" t="s">
        <v>2825</v>
      </c>
      <c r="L47" s="2595">
        <f ca="1">INDIRECT("'数据-取费表'!d"&amp;$G$1)</f>
        <v>40</v>
      </c>
      <c r="M47" s="2615" t="str">
        <f>IF(ISNUMBER(FIND("住宅",C1)),"住宅","非住宅")</f>
        <v>非住宅</v>
      </c>
      <c r="O47" s="2618" t="s">
        <v>2838</v>
      </c>
      <c r="P47" s="2628" t="s">
        <v>2857</v>
      </c>
      <c r="Q47" s="2619">
        <f ca="1">C40+J29</f>
        <v>28390</v>
      </c>
      <c r="R47" s="2619" t="s">
        <v>2858</v>
      </c>
    </row>
    <row r="48" spans="1:18" s="1480" customFormat="1" ht="47.25" thickBot="1">
      <c r="A48" s="2747" t="s">
        <v>3019</v>
      </c>
      <c r="B48" s="686" t="s">
        <v>2702</v>
      </c>
      <c r="C48" s="3305">
        <f ca="1">C49+C53+C55</f>
        <v>312335</v>
      </c>
      <c r="D48" s="2751"/>
      <c r="E48" s="2752"/>
      <c r="F48" s="2445"/>
      <c r="G48" s="1482"/>
      <c r="H48" s="1483"/>
      <c r="I48" s="2574" t="s">
        <v>2803</v>
      </c>
      <c r="J48" s="2586" t="s">
        <v>2804</v>
      </c>
      <c r="K48" s="2596" t="s">
        <v>908</v>
      </c>
      <c r="L48" s="2192">
        <f ca="1">INDIRECT("'数据-取费表'!f"&amp;$G$1)</f>
        <v>38.85</v>
      </c>
      <c r="O48" s="2618" t="s">
        <v>2839</v>
      </c>
      <c r="P48" s="2628" t="s">
        <v>2859</v>
      </c>
      <c r="Q48" s="2619">
        <f ca="1">J60</f>
        <v>42</v>
      </c>
      <c r="R48" s="2619" t="s">
        <v>2867</v>
      </c>
    </row>
    <row r="49" spans="1:18" s="1480" customFormat="1" ht="16.5" thickBot="1">
      <c r="A49" s="2458" t="s">
        <v>3020</v>
      </c>
      <c r="B49" s="2750" t="s">
        <v>3022</v>
      </c>
      <c r="C49" s="2759">
        <f ca="1">ROUND(F49*F51*F50*(1-F52)/10000,0)</f>
        <v>311470</v>
      </c>
      <c r="D49" s="2561" t="s">
        <v>2703</v>
      </c>
      <c r="E49" s="2564" t="s">
        <v>2696</v>
      </c>
      <c r="F49" s="2567">
        <v>1500</v>
      </c>
      <c r="G49" s="1484"/>
      <c r="H49" s="1483"/>
      <c r="I49" s="2574" t="s">
        <v>2823</v>
      </c>
      <c r="J49" s="3312">
        <v>2018</v>
      </c>
      <c r="K49" s="2597" t="s">
        <v>2828</v>
      </c>
      <c r="L49" s="2598">
        <v>5000</v>
      </c>
      <c r="O49" s="2620" t="s">
        <v>2840</v>
      </c>
      <c r="P49" s="2628" t="s">
        <v>2860</v>
      </c>
      <c r="Q49" s="2619">
        <f ca="1">C29</f>
        <v>2967</v>
      </c>
      <c r="R49" s="2619" t="s">
        <v>2858</v>
      </c>
    </row>
    <row r="50" spans="1:18" s="1480" customFormat="1" ht="15.75" thickBot="1">
      <c r="A50" s="2459"/>
      <c r="B50" s="2462"/>
      <c r="C50" s="2767"/>
      <c r="D50" s="2432"/>
      <c r="E50" s="2562" t="s">
        <v>1154</v>
      </c>
      <c r="F50" s="2563">
        <f ca="1">F7</f>
        <v>6321.0599999999995</v>
      </c>
      <c r="H50" s="1483"/>
      <c r="I50" s="2574" t="s">
        <v>2805</v>
      </c>
      <c r="J50" s="2588">
        <f>SUMPRODUCT((I63:I65=J47)*(J62:L62=J48)*(J63:L65))</f>
        <v>60</v>
      </c>
      <c r="K50" s="2597" t="s">
        <v>2829</v>
      </c>
      <c r="L50" s="2598">
        <v>0</v>
      </c>
      <c r="M50" s="2592"/>
      <c r="O50" s="2620" t="s">
        <v>2841</v>
      </c>
      <c r="P50" s="2628" t="s">
        <v>2868</v>
      </c>
      <c r="Q50" s="2621">
        <f>J58</f>
        <v>0.4</v>
      </c>
      <c r="R50" s="2619"/>
    </row>
    <row r="51" spans="1:18" s="1480" customFormat="1" ht="15.75" thickBot="1">
      <c r="A51" s="2460"/>
      <c r="B51" s="2462"/>
      <c r="C51" s="2463"/>
      <c r="D51" s="2432"/>
      <c r="E51" s="2464" t="s">
        <v>1155</v>
      </c>
      <c r="F51" s="689">
        <f ca="1">F8</f>
        <v>365</v>
      </c>
      <c r="I51" s="2589" t="s">
        <v>2810</v>
      </c>
      <c r="J51" s="2590">
        <f>IF(J49="",J50,J49+J50-YEAR('数据-取费表'!B2))</f>
        <v>61</v>
      </c>
      <c r="K51" s="2599" t="s">
        <v>2830</v>
      </c>
      <c r="L51" s="2612">
        <f ca="1">ROUND(-PV(INDIRECT("'数据-取费表'!h"&amp;$G$1),L48,(C39-C13*C76),0),0)</f>
        <v>16725</v>
      </c>
      <c r="M51" s="2593"/>
      <c r="O51" s="2620" t="s">
        <v>2842</v>
      </c>
      <c r="P51" s="2628" t="s">
        <v>2869</v>
      </c>
      <c r="Q51" s="2621">
        <f>J52</f>
        <v>0.09</v>
      </c>
      <c r="R51" s="2619"/>
    </row>
    <row r="52" spans="1:18" s="1480" customFormat="1" ht="16.5" thickBot="1">
      <c r="A52" s="2460"/>
      <c r="B52" s="2462"/>
      <c r="C52" s="2463"/>
      <c r="D52" s="2432"/>
      <c r="E52" s="2464" t="s">
        <v>1156</v>
      </c>
      <c r="F52" s="2560">
        <v>0.1</v>
      </c>
      <c r="I52" s="2591" t="s">
        <v>2834</v>
      </c>
      <c r="J52" s="3311">
        <v>0.09</v>
      </c>
      <c r="K52" s="2591" t="s">
        <v>2818</v>
      </c>
      <c r="L52" s="2605">
        <v>0.04</v>
      </c>
      <c r="M52" s="2424"/>
      <c r="O52" s="2620" t="s">
        <v>2843</v>
      </c>
      <c r="P52" s="2628" t="s">
        <v>2861</v>
      </c>
      <c r="Q52" s="2619">
        <f ca="1">J53</f>
        <v>38.85</v>
      </c>
      <c r="R52" s="2619" t="s">
        <v>2862</v>
      </c>
    </row>
    <row r="53" spans="1:18" s="1480" customFormat="1" ht="43.5" thickBot="1">
      <c r="A53" s="2865" t="s">
        <v>3021</v>
      </c>
      <c r="B53" s="437" t="s">
        <v>2931</v>
      </c>
      <c r="C53" s="702">
        <f ca="1">ROUND(IF(F53="押一",F49*F51*F50/12*F11,IF(F53="押二",F49*F51*F50/12*2*F11,IF(F53="押三",F49*F51*F50/12*3*F11,C54*F11)))/10000,0)</f>
        <v>865</v>
      </c>
      <c r="D53" s="2669" t="s">
        <v>2939</v>
      </c>
      <c r="E53" s="2121" t="s">
        <v>2933</v>
      </c>
      <c r="F53" s="2867" t="s">
        <v>3025</v>
      </c>
      <c r="I53" s="2601" t="s">
        <v>2836</v>
      </c>
      <c r="J53" s="2602">
        <f ca="1">IF(M47="住宅",J51,MIN(J51,L48))</f>
        <v>38.85</v>
      </c>
      <c r="K53" s="36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64"/>
      <c r="O53" s="2618" t="s">
        <v>2844</v>
      </c>
      <c r="P53" s="2628" t="s">
        <v>2863</v>
      </c>
      <c r="Q53" s="2619">
        <f ca="1">Q47+Q48</f>
        <v>28432</v>
      </c>
      <c r="R53" s="2619" t="s">
        <v>2845</v>
      </c>
    </row>
    <row r="54" spans="1:18" s="1480" customFormat="1" ht="16.5" thickBot="1">
      <c r="A54" s="2866"/>
      <c r="B54" s="2659" t="s">
        <v>3099</v>
      </c>
      <c r="C54" s="2442"/>
      <c r="D54" s="2669"/>
      <c r="E54" s="3304"/>
      <c r="F54" s="2568"/>
      <c r="I54" s="2439"/>
      <c r="J54" s="2600"/>
      <c r="K54" s="2600"/>
      <c r="L54" s="2600"/>
      <c r="M54" s="1484"/>
      <c r="O54" s="2622" t="s">
        <v>2870</v>
      </c>
      <c r="P54" s="1300"/>
      <c r="Q54" s="1300"/>
      <c r="R54" s="1300"/>
    </row>
    <row r="55" spans="1:18" s="1480" customFormat="1" ht="16.5" thickBot="1">
      <c r="A55" s="2706" t="s">
        <v>2944</v>
      </c>
      <c r="B55" s="2707" t="s">
        <v>2932</v>
      </c>
      <c r="C55" s="2708"/>
      <c r="D55" s="2669"/>
      <c r="E55" s="3304"/>
      <c r="F55" s="2568"/>
      <c r="I55" s="2571" t="s">
        <v>2811</v>
      </c>
      <c r="J55" s="2572"/>
      <c r="K55" s="2582" t="s">
        <v>2812</v>
      </c>
      <c r="L55" s="2604" t="s">
        <v>2852</v>
      </c>
      <c r="O55" s="2625" t="s">
        <v>2854</v>
      </c>
      <c r="P55" s="2626" t="s">
        <v>2855</v>
      </c>
      <c r="Q55" s="2627" t="s">
        <v>2853</v>
      </c>
      <c r="R55" s="2627" t="s">
        <v>2856</v>
      </c>
    </row>
    <row r="56" spans="1:18" s="1480" customFormat="1" ht="44.25" thickTop="1" thickBot="1">
      <c r="A56" s="2436">
        <v>2</v>
      </c>
      <c r="B56" s="2437" t="s">
        <v>1157</v>
      </c>
      <c r="C56" s="612">
        <f ca="1">C13</f>
        <v>2967</v>
      </c>
      <c r="D56" s="2734"/>
      <c r="E56" s="2438"/>
      <c r="F56" s="2568"/>
      <c r="I56" s="2573" t="s">
        <v>2813</v>
      </c>
      <c r="J56" s="2603" t="s">
        <v>44</v>
      </c>
      <c r="K56" s="2574" t="s">
        <v>2817</v>
      </c>
      <c r="L56" s="2192" t="str">
        <f ca="1">IF(L48&lt;J51,"——",L48-J51)</f>
        <v>——</v>
      </c>
      <c r="O56" s="2618" t="s">
        <v>2838</v>
      </c>
      <c r="P56" s="2628" t="s">
        <v>2857</v>
      </c>
      <c r="Q56" s="2619">
        <f ca="1">C40+J29</f>
        <v>28390</v>
      </c>
      <c r="R56" s="2619" t="s">
        <v>2858</v>
      </c>
    </row>
    <row r="57" spans="1:18" s="1480" customFormat="1" ht="29.25" thickBot="1">
      <c r="A57" s="2569"/>
      <c r="B57" s="2429" t="s">
        <v>1206</v>
      </c>
      <c r="C57" s="618">
        <f ca="1">C29</f>
        <v>2967</v>
      </c>
      <c r="D57" s="2440"/>
      <c r="E57" s="2441"/>
      <c r="F57" s="2570"/>
      <c r="I57" s="2575" t="s">
        <v>2835</v>
      </c>
      <c r="J57" s="2579">
        <f ca="1">IF(OR(M47="住宅",J51&lt;L48,J56="是"),"——",J51-L48)</f>
        <v>22.15</v>
      </c>
      <c r="K57" s="2574" t="s">
        <v>3307</v>
      </c>
      <c r="L57" s="2192" t="str">
        <f ca="1">IF(L48&lt;J51,"——",IF(L55="比较法",L49,IF(L55="基准地价",L50,L51)))</f>
        <v>——</v>
      </c>
      <c r="O57" s="2618" t="s">
        <v>2839</v>
      </c>
      <c r="P57" s="2628" t="s">
        <v>2864</v>
      </c>
      <c r="Q57" s="2619">
        <f ca="1">L60</f>
        <v>0</v>
      </c>
      <c r="R57" s="2619" t="s">
        <v>2879</v>
      </c>
    </row>
    <row r="58" spans="1:18" s="1480" customFormat="1" ht="29.25" thickBot="1">
      <c r="A58" s="701" t="s">
        <v>2708</v>
      </c>
      <c r="B58" s="2437" t="s">
        <v>1164</v>
      </c>
      <c r="C58" s="702">
        <f ca="1">ROUND(C59+C64+C65+C66,0)</f>
        <v>22985</v>
      </c>
      <c r="D58" s="2443" t="s">
        <v>1165</v>
      </c>
      <c r="E58" s="2444"/>
      <c r="F58" s="2445"/>
      <c r="I58" s="2575" t="s">
        <v>2814</v>
      </c>
      <c r="J58" s="3310">
        <v>0.4</v>
      </c>
      <c r="K58" s="2599" t="s">
        <v>3308</v>
      </c>
      <c r="L58" s="2192">
        <f ca="1">IF(ISERROR(POWER(1+L52,L47-L48)*(POWER(1+L52,L48)-1)/(POWER(1+L52,L47)-1)),0,POWER(1+L52,L47-L48)*(POWER(1+L52,L48)-1)/(POWER(1+L52,L47)-1))</f>
        <v>0.9878620852642338</v>
      </c>
      <c r="O58" s="2620" t="s">
        <v>2840</v>
      </c>
      <c r="P58" s="2628" t="s">
        <v>2871</v>
      </c>
      <c r="Q58" s="2619">
        <f>IF(L55="比较法",L49,IF(L55="基准地价",L50,0))</f>
        <v>5000</v>
      </c>
      <c r="R58" s="2619" t="s">
        <v>2858</v>
      </c>
    </row>
    <row r="59" spans="1:18" s="1480" customFormat="1" ht="29.25" thickBot="1">
      <c r="A59" s="2465" t="s">
        <v>2743</v>
      </c>
      <c r="B59" s="2429" t="s">
        <v>528</v>
      </c>
      <c r="C59" s="319">
        <f ca="1">ROUND(IF(项目基本情况!B11="自然人",C48*F59,C60+C61+C62),1)</f>
        <v>16684.7</v>
      </c>
      <c r="D59" s="2446" t="s">
        <v>1168</v>
      </c>
      <c r="E59" s="2447" t="s">
        <v>1169</v>
      </c>
      <c r="F59" s="712" t="str">
        <f ca="1">IF(项目基本情况!B11="企业","",IF(INDIRECT("'数据-取费表'!c"&amp;$G$1)="住宅",4.5%,IF(F49*F50*F51/12&gt;20000,11%,6%)))</f>
        <v/>
      </c>
      <c r="I59" s="2575" t="s">
        <v>2815</v>
      </c>
      <c r="J59" s="2579">
        <f ca="1">IF(OR(M47="住宅",J51&lt;L48,J56="是"),"——",ROUND(C29*J58,0))</f>
        <v>1187</v>
      </c>
      <c r="K59" s="2599" t="s">
        <v>3309</v>
      </c>
      <c r="L59" s="2192">
        <f ca="1">IF(ISERROR(POWER(1+L52,L47-J51)*(POWER(1+L52,J51)-1)/(POWER(1+L52,L47)-1)),0,POWER(1+L52,L47-J51)*(POWER(1+L52,J51)-1)/(POWER(1+L52,L47)-1))</f>
        <v>1.1476357149337533</v>
      </c>
      <c r="O59" s="2620" t="s">
        <v>2841</v>
      </c>
      <c r="P59" s="2628" t="s">
        <v>2872</v>
      </c>
      <c r="Q59" s="2621">
        <f>L52</f>
        <v>0.04</v>
      </c>
      <c r="R59" s="2619"/>
    </row>
    <row r="60" spans="1:18" s="1480" customFormat="1" ht="20.25" thickBot="1">
      <c r="A60" s="2465" t="s">
        <v>2740</v>
      </c>
      <c r="B60" s="2429" t="s">
        <v>1170</v>
      </c>
      <c r="C60" s="319">
        <f ca="1">IF(项目基本情况!B11="自然人","——",ROUND(C48*F60/(1+'数据-取费表'!B42),2))</f>
        <v>16657.87</v>
      </c>
      <c r="D60" s="2447" t="s">
        <v>1171</v>
      </c>
      <c r="E60" s="2429" t="s">
        <v>535</v>
      </c>
      <c r="F60" s="721">
        <f t="shared" ref="F60:F66" si="0">F32</f>
        <v>5.6000000000000001E-2</v>
      </c>
      <c r="I60" s="2576" t="s">
        <v>2816</v>
      </c>
      <c r="J60" s="2581">
        <f ca="1">IF(OR(M47="住宅",J51&lt;L48,J56="是"),"0",ROUND(J59/(1+J52)^J53,0))</f>
        <v>42</v>
      </c>
      <c r="K60" s="2583" t="s">
        <v>2819</v>
      </c>
      <c r="L60" s="2581">
        <f ca="1">IF(OR(M47="住宅",L48&lt;J51),0,ROUND(L57*(L58/L59-1),0))</f>
        <v>0</v>
      </c>
      <c r="O60" s="2620" t="s">
        <v>2842</v>
      </c>
      <c r="P60" s="2628" t="s">
        <v>2873</v>
      </c>
      <c r="Q60" s="2619">
        <f ca="1">L58</f>
        <v>0.9878620852642338</v>
      </c>
      <c r="R60" s="2619" t="s">
        <v>2847</v>
      </c>
    </row>
    <row r="61" spans="1:18" s="1480" customFormat="1" ht="20.25" thickBot="1">
      <c r="A61" s="2465" t="s">
        <v>2741</v>
      </c>
      <c r="B61" s="2429" t="s">
        <v>1173</v>
      </c>
      <c r="C61" s="319">
        <f ca="1">IF(项目基本情况!B11="自然人","——",IF(D61="按租金收入计税",ROUND(C48*F61,2),IF(D61="按房产原值计税",ROUND(C57*F61*0.7,2),INDIRECT("'数据-取费表'!Aj"&amp;$G$1))))</f>
        <v>24.92</v>
      </c>
      <c r="D61" s="1305" t="s">
        <v>2793</v>
      </c>
      <c r="E61" s="2429" t="s">
        <v>535</v>
      </c>
      <c r="F61" s="711">
        <f t="shared" si="0"/>
        <v>1.2E-2</v>
      </c>
      <c r="I61" s="2439"/>
      <c r="J61" s="2439"/>
      <c r="K61" s="2439"/>
      <c r="L61" s="2439"/>
      <c r="O61" s="2620" t="s">
        <v>2843</v>
      </c>
      <c r="P61" s="2628" t="s">
        <v>2874</v>
      </c>
      <c r="Q61" s="2619">
        <f ca="1">L59</f>
        <v>1.1476357149337533</v>
      </c>
      <c r="R61" s="2619" t="s">
        <v>2848</v>
      </c>
    </row>
    <row r="62" spans="1:18" s="1480" customFormat="1" ht="15.75" thickBot="1">
      <c r="A62" s="2465" t="s">
        <v>2742</v>
      </c>
      <c r="B62" s="2428" t="s">
        <v>1175</v>
      </c>
      <c r="C62" s="320">
        <f ca="1">IF(项目基本情况!B11="自然人","——",ROUND(F62*F63/10000,2))</f>
        <v>1.95</v>
      </c>
      <c r="D62" s="2448" t="s">
        <v>1176</v>
      </c>
      <c r="E62" s="2429" t="s">
        <v>1177</v>
      </c>
      <c r="F62" s="715">
        <f t="shared" si="0"/>
        <v>18</v>
      </c>
      <c r="I62" s="2577" t="s">
        <v>2806</v>
      </c>
      <c r="J62" s="2578" t="s">
        <v>2807</v>
      </c>
      <c r="K62" s="2578" t="s">
        <v>2808</v>
      </c>
      <c r="L62" s="2578" t="s">
        <v>2804</v>
      </c>
      <c r="O62" s="2618" t="s">
        <v>2844</v>
      </c>
      <c r="P62" s="2628" t="s">
        <v>2863</v>
      </c>
      <c r="Q62" s="2619">
        <f ca="1">Q56+Q57</f>
        <v>28390</v>
      </c>
      <c r="R62" s="2619" t="s">
        <v>2845</v>
      </c>
    </row>
    <row r="63" spans="1:18" s="1480" customFormat="1" ht="16.5" thickBot="1">
      <c r="A63" s="716"/>
      <c r="B63" s="2435"/>
      <c r="C63" s="324"/>
      <c r="D63" s="2449"/>
      <c r="E63" s="2429" t="s">
        <v>1181</v>
      </c>
      <c r="F63" s="689">
        <f t="shared" ca="1" si="0"/>
        <v>1081.78</v>
      </c>
      <c r="I63" s="2577" t="s">
        <v>2820</v>
      </c>
      <c r="J63" s="2578">
        <v>70</v>
      </c>
      <c r="K63" s="2578">
        <v>50</v>
      </c>
      <c r="L63" s="2578">
        <v>80</v>
      </c>
      <c r="O63" s="2622" t="s">
        <v>2877</v>
      </c>
      <c r="P63" s="1300"/>
      <c r="Q63" s="1300"/>
      <c r="R63" s="1300"/>
    </row>
    <row r="64" spans="1:18" s="1480" customFormat="1" ht="15.75" thickBot="1">
      <c r="A64" s="2465" t="s">
        <v>2750</v>
      </c>
      <c r="B64" s="2429" t="s">
        <v>1183</v>
      </c>
      <c r="C64" s="319">
        <f ca="1">ROUND(C57*F64,1)</f>
        <v>44.5</v>
      </c>
      <c r="D64" s="2447" t="s">
        <v>1213</v>
      </c>
      <c r="E64" s="2429" t="s">
        <v>535</v>
      </c>
      <c r="F64" s="718">
        <f t="shared" ca="1" si="0"/>
        <v>1.4999999999999999E-2</v>
      </c>
      <c r="I64" s="2577" t="s">
        <v>126</v>
      </c>
      <c r="J64" s="2578">
        <v>50</v>
      </c>
      <c r="K64" s="2578">
        <v>35</v>
      </c>
      <c r="L64" s="2578">
        <v>60</v>
      </c>
      <c r="O64" s="2625" t="s">
        <v>2854</v>
      </c>
      <c r="P64" s="2626" t="s">
        <v>2855</v>
      </c>
      <c r="Q64" s="2627" t="s">
        <v>2853</v>
      </c>
      <c r="R64" s="2627" t="s">
        <v>2856</v>
      </c>
    </row>
    <row r="65" spans="1:18" s="1480" customFormat="1" ht="15.75" thickBot="1">
      <c r="A65" s="2465" t="s">
        <v>2744</v>
      </c>
      <c r="B65" s="2429" t="s">
        <v>533</v>
      </c>
      <c r="C65" s="319">
        <f ca="1">ROUND(C56*F65,1)</f>
        <v>8.9</v>
      </c>
      <c r="D65" s="2447" t="s">
        <v>1186</v>
      </c>
      <c r="E65" s="2429" t="s">
        <v>535</v>
      </c>
      <c r="F65" s="720">
        <f t="shared" ca="1" si="0"/>
        <v>3.0000000000000001E-3</v>
      </c>
      <c r="I65" s="2577" t="s">
        <v>2822</v>
      </c>
      <c r="J65" s="2578">
        <v>40</v>
      </c>
      <c r="K65" s="2578">
        <v>30</v>
      </c>
      <c r="L65" s="2578">
        <v>50</v>
      </c>
      <c r="O65" s="2618" t="s">
        <v>2838</v>
      </c>
      <c r="P65" s="2628" t="s">
        <v>2857</v>
      </c>
      <c r="Q65" s="2619">
        <f ca="1">C40+J29</f>
        <v>28390</v>
      </c>
      <c r="R65" s="2619" t="s">
        <v>2858</v>
      </c>
    </row>
    <row r="66" spans="1:18" s="1480" customFormat="1" ht="20.25" thickBot="1">
      <c r="A66" s="2465" t="s">
        <v>2745</v>
      </c>
      <c r="B66" s="2429" t="s">
        <v>532</v>
      </c>
      <c r="C66" s="319">
        <f ca="1">ROUND(C48*F66,1)</f>
        <v>6246.7</v>
      </c>
      <c r="D66" s="2447" t="s">
        <v>536</v>
      </c>
      <c r="E66" s="2429" t="s">
        <v>535</v>
      </c>
      <c r="F66" s="698">
        <f t="shared" ca="1" si="0"/>
        <v>0.02</v>
      </c>
      <c r="O66" s="2618" t="s">
        <v>2839</v>
      </c>
      <c r="P66" s="2628" t="s">
        <v>2864</v>
      </c>
      <c r="Q66" s="2619">
        <f ca="1">L60</f>
        <v>0</v>
      </c>
      <c r="R66" s="2619" t="s">
        <v>2846</v>
      </c>
    </row>
    <row r="67" spans="1:18" s="1480" customFormat="1" ht="24.75" thickBot="1">
      <c r="A67" s="2436" t="s">
        <v>2723</v>
      </c>
      <c r="B67" s="2450" t="s">
        <v>542</v>
      </c>
      <c r="C67" s="702">
        <f ca="1">C48-C58</f>
        <v>289350</v>
      </c>
      <c r="D67" s="2446" t="s">
        <v>543</v>
      </c>
      <c r="E67" s="2451"/>
      <c r="F67" s="2452"/>
      <c r="O67" s="2620" t="s">
        <v>2840</v>
      </c>
      <c r="P67" s="2628" t="s">
        <v>2871</v>
      </c>
      <c r="Q67" s="2623">
        <f ca="1">L51</f>
        <v>16725</v>
      </c>
      <c r="R67" s="2624" t="s">
        <v>2881</v>
      </c>
    </row>
    <row r="68" spans="1:18" s="1480" customFormat="1" ht="20.25" thickBot="1">
      <c r="A68" s="2426" t="s">
        <v>2726</v>
      </c>
      <c r="B68" s="2427" t="s">
        <v>2727</v>
      </c>
      <c r="C68" s="687">
        <f ca="1">ROUND(C67*(1-((1+F70)/(1+F68))^F69)/(F68-F70),0)</f>
        <v>6500393</v>
      </c>
      <c r="D68" s="2448" t="s">
        <v>1196</v>
      </c>
      <c r="E68" s="2429" t="s">
        <v>539</v>
      </c>
      <c r="F68" s="698">
        <f ca="1">F40</f>
        <v>5.5E-2</v>
      </c>
      <c r="O68" s="2620" t="s">
        <v>2841</v>
      </c>
      <c r="P68" s="2629" t="s">
        <v>2875</v>
      </c>
      <c r="Q68" s="2619">
        <f ca="1">ROUND(Q69-Q70*Q71,0)</f>
        <v>919</v>
      </c>
      <c r="R68" s="2619" t="s">
        <v>2880</v>
      </c>
    </row>
    <row r="69" spans="1:18" s="1480" customFormat="1" ht="15.75" thickBot="1">
      <c r="A69" s="2430"/>
      <c r="B69" s="2431"/>
      <c r="C69" s="692"/>
      <c r="D69" s="2453" t="s">
        <v>1198</v>
      </c>
      <c r="E69" s="2429" t="s">
        <v>546</v>
      </c>
      <c r="F69" s="723">
        <f ca="1">F41</f>
        <v>38.85</v>
      </c>
      <c r="O69" s="2620" t="s">
        <v>2849</v>
      </c>
      <c r="P69" s="2629" t="s">
        <v>2865</v>
      </c>
      <c r="Q69" s="2619">
        <f ca="1">C39</f>
        <v>1171</v>
      </c>
      <c r="R69" s="2619" t="s">
        <v>2858</v>
      </c>
    </row>
    <row r="70" spans="1:18" s="1480" customFormat="1" ht="15.75" thickBot="1">
      <c r="A70" s="2433"/>
      <c r="B70" s="2434"/>
      <c r="C70" s="696"/>
      <c r="D70" s="2449"/>
      <c r="E70" s="2429" t="s">
        <v>547</v>
      </c>
      <c r="F70" s="2560">
        <v>2.5000000000000001E-2</v>
      </c>
      <c r="O70" s="2620" t="s">
        <v>2850</v>
      </c>
      <c r="P70" s="2629" t="s">
        <v>2866</v>
      </c>
      <c r="Q70" s="2619">
        <f ca="1">C13</f>
        <v>2967</v>
      </c>
      <c r="R70" s="2619" t="s">
        <v>2858</v>
      </c>
    </row>
    <row r="71" spans="1:18" s="1480" customFormat="1" ht="15.75" thickBot="1">
      <c r="A71" s="2454" t="s">
        <v>2733</v>
      </c>
      <c r="B71" s="2455" t="s">
        <v>548</v>
      </c>
      <c r="C71" s="726">
        <f ca="1">ROUND(C68*10000/F71,0)</f>
        <v>10283707</v>
      </c>
      <c r="D71" s="2456" t="s">
        <v>549</v>
      </c>
      <c r="E71" s="2457" t="s">
        <v>2736</v>
      </c>
      <c r="F71" s="729">
        <f ca="1">F43</f>
        <v>6321.0599999999995</v>
      </c>
      <c r="I71" s="2424"/>
      <c r="K71" s="2424"/>
      <c r="O71" s="2620" t="s">
        <v>2851</v>
      </c>
      <c r="P71" s="2629" t="s">
        <v>2878</v>
      </c>
      <c r="Q71" s="2621">
        <f ca="1">C76</f>
        <v>8.5000000000000006E-2</v>
      </c>
      <c r="R71" s="2619"/>
    </row>
    <row r="72" spans="1:18" s="1480" customFormat="1" ht="15.75" thickBot="1">
      <c r="B72" s="1485"/>
      <c r="C72" s="1485"/>
      <c r="I72" s="2424"/>
      <c r="O72" s="2620" t="s">
        <v>2842</v>
      </c>
      <c r="P72" s="2628" t="s">
        <v>2872</v>
      </c>
      <c r="Q72" s="2621">
        <f>L52</f>
        <v>0.04</v>
      </c>
      <c r="R72" s="2619"/>
    </row>
    <row r="73" spans="1:18" ht="20.25" thickBot="1">
      <c r="A73" s="1480"/>
      <c r="B73" s="1485"/>
      <c r="C73" s="1485"/>
      <c r="D73" s="1480"/>
      <c r="E73" s="1480"/>
      <c r="F73" s="1480"/>
      <c r="I73" s="2614"/>
      <c r="O73" s="2620" t="s">
        <v>2843</v>
      </c>
      <c r="P73" s="2628" t="s">
        <v>2873</v>
      </c>
      <c r="Q73" s="2619">
        <f ca="1">L58</f>
        <v>0.9878620852642338</v>
      </c>
      <c r="R73" s="2619" t="s">
        <v>2847</v>
      </c>
    </row>
    <row r="74" spans="1:18" ht="20.25" thickBot="1">
      <c r="A74" s="1480"/>
      <c r="B74" s="731" t="s">
        <v>551</v>
      </c>
      <c r="C74" s="732"/>
      <c r="D74" s="1480"/>
      <c r="E74" s="1480"/>
      <c r="F74" s="1480"/>
      <c r="O74" s="2620" t="s">
        <v>2882</v>
      </c>
      <c r="P74" s="2628" t="s">
        <v>2874</v>
      </c>
      <c r="Q74" s="2619">
        <f ca="1">L59</f>
        <v>1.1476357149337533</v>
      </c>
      <c r="R74" s="2619" t="s">
        <v>2848</v>
      </c>
    </row>
    <row r="75" spans="1:18" ht="15.75" thickBot="1">
      <c r="A75" s="1480"/>
      <c r="B75" s="733" t="s">
        <v>1211</v>
      </c>
      <c r="C75" s="734">
        <f ca="1">ROUND(C13*C76,0)</f>
        <v>252</v>
      </c>
      <c r="D75" s="1480"/>
      <c r="E75" s="1480"/>
      <c r="F75" s="1480"/>
      <c r="K75" s="1481"/>
      <c r="L75" s="1480"/>
      <c r="O75" s="2618" t="s">
        <v>2844</v>
      </c>
      <c r="P75" s="2628" t="s">
        <v>2863</v>
      </c>
      <c r="Q75" s="2619">
        <f ca="1">Q65+Q66</f>
        <v>28390</v>
      </c>
      <c r="R75" s="2619" t="s">
        <v>2845</v>
      </c>
    </row>
    <row r="76" spans="1:18">
      <c r="B76" s="735" t="s">
        <v>1212</v>
      </c>
      <c r="C76" s="736">
        <f ca="1">INDIRECT("'数据-取费表'!j"&amp;$G$1)</f>
        <v>8.5000000000000006E-2</v>
      </c>
      <c r="I76" s="1480"/>
      <c r="J76" s="1480"/>
      <c r="K76" s="1481"/>
      <c r="L76" s="1480"/>
    </row>
    <row r="77" spans="1:18">
      <c r="B77" s="737" t="s">
        <v>1215</v>
      </c>
      <c r="C77" s="738"/>
      <c r="I77" s="1480"/>
      <c r="J77" s="1480"/>
      <c r="K77" s="1481"/>
      <c r="L77" s="1480"/>
    </row>
    <row r="78" spans="1:18">
      <c r="B78" s="650" t="s">
        <v>1201</v>
      </c>
      <c r="C78" s="739"/>
    </row>
    <row r="79" spans="1:18">
      <c r="B79" s="2912" t="s">
        <v>3106</v>
      </c>
      <c r="C79" s="654">
        <f ca="1">1-C80</f>
        <v>0.78500000000000003</v>
      </c>
    </row>
    <row r="80" spans="1:18">
      <c r="B80" s="2912" t="s">
        <v>3105</v>
      </c>
      <c r="C80" s="654">
        <f ca="1">ROUND(C75/C39,3)</f>
        <v>0.215</v>
      </c>
    </row>
    <row r="81" spans="2:3">
      <c r="B81" s="650" t="s">
        <v>552</v>
      </c>
      <c r="C81" s="651"/>
    </row>
    <row r="82" spans="2:3">
      <c r="B82" s="2911" t="s">
        <v>3104</v>
      </c>
      <c r="C82" s="655">
        <f ca="1">1-C83</f>
        <v>0.89500000000000002</v>
      </c>
    </row>
    <row r="83" spans="2:3">
      <c r="B83" s="2911" t="s">
        <v>3103</v>
      </c>
      <c r="C83" s="654">
        <f ca="1">ROUND(C13/C40,3)</f>
        <v>0.105</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c r="D1" s="1278"/>
      <c r="E1" s="2616" t="s">
        <v>763</v>
      </c>
      <c r="F1" s="2617">
        <f ca="1">J53</f>
        <v>38.85</v>
      </c>
      <c r="G1" s="676">
        <f>MATCH(C1,'数据-取费表'!A6:A16,0)+5</f>
        <v>11</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f ca="1">C40+J29+L46</f>
        <v>-11886</v>
      </c>
      <c r="C2" s="1304" t="s">
        <v>1415</v>
      </c>
      <c r="D2" s="1280"/>
      <c r="E2" s="2606"/>
      <c r="F2" s="1281"/>
      <c r="G2" s="2314"/>
      <c r="H2" s="1279"/>
      <c r="I2" s="1279"/>
      <c r="J2" s="1279"/>
      <c r="K2" s="1303"/>
      <c r="L2" s="1279"/>
      <c r="M2" s="1279"/>
    </row>
    <row r="3" spans="1:37" ht="18" customHeight="1" thickBot="1">
      <c r="A3" s="679" t="s">
        <v>511</v>
      </c>
      <c r="B3" s="1412">
        <f ca="1">IF(ISERROR(B2*10000/F43),0,ROUND(B2*10000/F43,0))</f>
        <v>-849</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2702</v>
      </c>
      <c r="C5" s="2661">
        <f ca="1">C6+C10+C12</f>
        <v>39</v>
      </c>
      <c r="D5" s="2671" t="s">
        <v>2937</v>
      </c>
      <c r="E5" s="2662"/>
      <c r="F5" s="2663"/>
      <c r="G5" s="2315"/>
      <c r="H5" s="685">
        <v>1</v>
      </c>
      <c r="I5" s="686" t="s">
        <v>2702</v>
      </c>
      <c r="J5" s="2661">
        <f ca="1">J6+J10+J12</f>
        <v>0</v>
      </c>
      <c r="K5" s="2664" t="s">
        <v>2937</v>
      </c>
      <c r="L5" s="2662"/>
      <c r="M5" s="2663"/>
    </row>
    <row r="6" spans="1:37" ht="18" customHeight="1">
      <c r="A6" s="2657" t="s">
        <v>2743</v>
      </c>
      <c r="B6" s="3665" t="s">
        <v>2936</v>
      </c>
      <c r="C6" s="2666">
        <f>ROUND(F6*F8*F7*(1-F9)/10000,0)</f>
        <v>39</v>
      </c>
      <c r="D6" s="2660" t="s">
        <v>2938</v>
      </c>
      <c r="E6" s="688" t="s">
        <v>1153</v>
      </c>
      <c r="F6" s="3365">
        <v>0.34</v>
      </c>
      <c r="G6" s="2315"/>
      <c r="H6" s="2657" t="s">
        <v>2743</v>
      </c>
      <c r="I6" s="3665" t="s">
        <v>2936</v>
      </c>
      <c r="J6" s="687">
        <f ca="1">ROUND(M6*M8*M7*(1-M9)/10000,0)</f>
        <v>0</v>
      </c>
      <c r="K6" s="2660" t="s">
        <v>2938</v>
      </c>
      <c r="L6" s="688" t="s">
        <v>1153</v>
      </c>
      <c r="M6" s="689">
        <f ca="1">INDIRECT("'数据-取费表'!z"&amp;$G$1)</f>
        <v>0</v>
      </c>
    </row>
    <row r="7" spans="1:37" ht="18" customHeight="1">
      <c r="A7" s="2665"/>
      <c r="B7" s="3666"/>
      <c r="C7" s="2667"/>
      <c r="D7" s="2085"/>
      <c r="E7" s="2668" t="s">
        <v>1154</v>
      </c>
      <c r="F7" s="3365">
        <v>3500</v>
      </c>
      <c r="G7" s="2315"/>
      <c r="H7" s="690"/>
      <c r="I7" s="3666"/>
      <c r="J7" s="692"/>
      <c r="K7" s="693"/>
      <c r="L7" s="688" t="s">
        <v>1154</v>
      </c>
      <c r="M7" s="689">
        <f>F7</f>
        <v>3500</v>
      </c>
    </row>
    <row r="8" spans="1:37" ht="18" customHeight="1">
      <c r="A8" s="690"/>
      <c r="B8" s="3666"/>
      <c r="C8" s="692"/>
      <c r="D8" s="693"/>
      <c r="E8" s="688" t="s">
        <v>1155</v>
      </c>
      <c r="F8" s="3365">
        <v>365</v>
      </c>
      <c r="G8" s="2315"/>
      <c r="H8" s="690"/>
      <c r="I8" s="3666"/>
      <c r="J8" s="692"/>
      <c r="K8" s="693"/>
      <c r="L8" s="688" t="s">
        <v>1155</v>
      </c>
      <c r="M8" s="689">
        <f ca="1">INDIRECT("'数据-取费表'!ai"&amp;$G$1)</f>
        <v>12</v>
      </c>
    </row>
    <row r="9" spans="1:37" ht="18" customHeight="1">
      <c r="A9" s="690"/>
      <c r="B9" s="3667"/>
      <c r="C9" s="692"/>
      <c r="D9" s="693"/>
      <c r="E9" s="688" t="s">
        <v>1156</v>
      </c>
      <c r="F9" s="3366">
        <v>0.1</v>
      </c>
      <c r="G9" s="2315"/>
      <c r="H9" s="690"/>
      <c r="I9" s="3667"/>
      <c r="J9" s="692"/>
      <c r="K9" s="693"/>
      <c r="L9" s="699" t="s">
        <v>1156</v>
      </c>
      <c r="M9" s="700">
        <f ca="1">INDIRECT("'数据-取费表'!ab"&amp;$G$1)</f>
        <v>0</v>
      </c>
    </row>
    <row r="10" spans="1:37" ht="18" customHeight="1">
      <c r="A10" s="2657" t="s">
        <v>2750</v>
      </c>
      <c r="B10" s="2658" t="s">
        <v>2931</v>
      </c>
      <c r="C10" s="702">
        <f ca="1">ROUND(IF(F10="押一",F6*F8*F7/12*F11,IF(F10="押二",F6*F8*F7/12*2*F11,IF(F10="押三",F6*F8*F7/12*3*F11,C11*F11)))/10000,0)</f>
        <v>0</v>
      </c>
      <c r="D10" s="2669" t="s">
        <v>2939</v>
      </c>
      <c r="E10" s="2121" t="s">
        <v>2933</v>
      </c>
      <c r="F10" s="3313" t="s">
        <v>3096</v>
      </c>
      <c r="G10" s="2315"/>
      <c r="H10" s="2657" t="s">
        <v>2750</v>
      </c>
      <c r="I10" s="2658" t="s">
        <v>2931</v>
      </c>
      <c r="J10" s="687">
        <f ca="1">ROUND(IF(M10="押一",M6*M8*M7/12*M11,IF(M10="押二",M6*M8*M7/12*2*M11,IF(M10="押三",M6*M8*M7/12*3*M11,J11*M11)))/10000,0)</f>
        <v>0</v>
      </c>
      <c r="K10" s="2669" t="s">
        <v>2939</v>
      </c>
      <c r="L10" s="2121" t="s">
        <v>2933</v>
      </c>
      <c r="M10" s="2765" t="s">
        <v>3025</v>
      </c>
    </row>
    <row r="11" spans="1:37" ht="18" customHeight="1">
      <c r="A11" s="694"/>
      <c r="B11" s="2659" t="s">
        <v>3099</v>
      </c>
      <c r="C11" s="2442"/>
      <c r="D11" s="2906"/>
      <c r="E11" s="2121" t="s">
        <v>2934</v>
      </c>
      <c r="F11" s="700">
        <f ca="1">'数据-取费表'!B39</f>
        <v>1.4999999999999999E-2</v>
      </c>
      <c r="G11" s="2315"/>
      <c r="H11" s="2670"/>
      <c r="I11" s="2659" t="s">
        <v>3099</v>
      </c>
      <c r="J11" s="2442"/>
      <c r="K11" s="1285"/>
      <c r="L11" s="2121" t="s">
        <v>2934</v>
      </c>
      <c r="M11" s="2120">
        <f ca="1">'数据-取费表'!B39</f>
        <v>1.4999999999999999E-2</v>
      </c>
    </row>
    <row r="12" spans="1:37" ht="18" customHeight="1" thickBot="1">
      <c r="A12" s="2706" t="s">
        <v>2944</v>
      </c>
      <c r="B12" s="2707" t="s">
        <v>2932</v>
      </c>
      <c r="C12" s="2708"/>
      <c r="D12" s="2709"/>
      <c r="E12" s="2710"/>
      <c r="F12" s="2711"/>
      <c r="G12" s="2315"/>
      <c r="H12" s="2706" t="s">
        <v>2944</v>
      </c>
      <c r="I12" s="2707" t="s">
        <v>2932</v>
      </c>
      <c r="J12" s="2708"/>
      <c r="K12" s="2725"/>
      <c r="L12" s="2710"/>
      <c r="M12" s="2726"/>
    </row>
    <row r="13" spans="1:37" ht="18" customHeight="1" thickTop="1">
      <c r="A13" s="2702">
        <v>2</v>
      </c>
      <c r="B13" s="2703" t="s">
        <v>1157</v>
      </c>
      <c r="C13" s="696">
        <f ca="1">ROUND(C29*F13,0)</f>
        <v>42625</v>
      </c>
      <c r="D13" s="2704" t="s">
        <v>1158</v>
      </c>
      <c r="E13" s="2704" t="s">
        <v>1159</v>
      </c>
      <c r="F13" s="3367">
        <v>1</v>
      </c>
      <c r="G13" s="2315"/>
      <c r="H13" s="2702">
        <v>2</v>
      </c>
      <c r="I13" s="2703" t="s">
        <v>1157</v>
      </c>
      <c r="J13" s="2656">
        <f ca="1">ROUND(J14*J15,0)</f>
        <v>0</v>
      </c>
      <c r="K13" s="2712" t="s">
        <v>1158</v>
      </c>
      <c r="L13" s="2723"/>
      <c r="M13" s="2724"/>
    </row>
    <row r="14" spans="1:37" ht="18" customHeight="1">
      <c r="A14" s="2465" t="s">
        <v>2740</v>
      </c>
      <c r="B14" s="688" t="s">
        <v>524</v>
      </c>
      <c r="C14" s="3368">
        <f>2200*F43/10000</f>
        <v>30800</v>
      </c>
      <c r="D14" s="3359" t="s">
        <v>1160</v>
      </c>
      <c r="E14" s="3357"/>
      <c r="F14" s="707"/>
      <c r="G14" s="2315"/>
      <c r="H14" s="2465" t="s">
        <v>2743</v>
      </c>
      <c r="I14" s="688" t="s">
        <v>1161</v>
      </c>
      <c r="J14" s="319">
        <f ca="1">C29</f>
        <v>42625</v>
      </c>
      <c r="K14" s="309"/>
      <c r="L14" s="704"/>
      <c r="M14" s="705"/>
    </row>
    <row r="15" spans="1:37" s="710" customFormat="1" ht="18" customHeight="1" thickBot="1">
      <c r="A15" s="2465" t="s">
        <v>3008</v>
      </c>
      <c r="B15" s="688" t="s">
        <v>525</v>
      </c>
      <c r="C15" s="319">
        <f>ROUND(C14*F15,0)</f>
        <v>924</v>
      </c>
      <c r="D15" s="708" t="s">
        <v>1162</v>
      </c>
      <c r="E15" s="708" t="s">
        <v>530</v>
      </c>
      <c r="F15" s="709">
        <f>'数据-取费表'!B33</f>
        <v>0.03</v>
      </c>
      <c r="G15" s="2316"/>
      <c r="H15" s="2714" t="s">
        <v>2750</v>
      </c>
      <c r="I15" s="2715" t="s">
        <v>1159</v>
      </c>
      <c r="J15" s="2726">
        <f ca="1">INDIRECT("'数据-取费表'!ad"&amp;$G$1)</f>
        <v>0</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3009</v>
      </c>
      <c r="B16" s="688" t="s">
        <v>526</v>
      </c>
      <c r="C16" s="319">
        <f ca="1">ROUND(INDIRECT("'数据-取费表'!m"&amp;$G$1)*F16,0)</f>
        <v>0</v>
      </c>
      <c r="D16" s="688" t="s">
        <v>1162</v>
      </c>
      <c r="E16" s="688" t="s">
        <v>530</v>
      </c>
      <c r="F16" s="711">
        <f ca="1">IF(INDIRECT("'数据-取费表'!c"&amp;$G$1)="住宅",'数据-取费表'!B34,0)</f>
        <v>0</v>
      </c>
      <c r="G16" s="2315"/>
      <c r="H16" s="2702" t="s">
        <v>2708</v>
      </c>
      <c r="I16" s="2703" t="s">
        <v>1164</v>
      </c>
      <c r="J16" s="696">
        <f ca="1">ROUND(J17+J22+J23+J24,0)</f>
        <v>998</v>
      </c>
      <c r="K16" s="2712" t="s">
        <v>1165</v>
      </c>
      <c r="L16" s="2713"/>
      <c r="M16" s="2663"/>
    </row>
    <row r="17" spans="1:37" s="710" customFormat="1" ht="18" customHeight="1">
      <c r="A17" s="2465" t="s">
        <v>3010</v>
      </c>
      <c r="B17" s="688" t="s">
        <v>527</v>
      </c>
      <c r="C17" s="319">
        <f ca="1">ROUND(F17*(F43+INDIRECT("'数据-取费表'!S"&amp;$G$1))/10000,0)</f>
        <v>2800</v>
      </c>
      <c r="D17" s="688" t="s">
        <v>1166</v>
      </c>
      <c r="E17" s="688" t="s">
        <v>1167</v>
      </c>
      <c r="F17" s="321">
        <f>'数据-取费表'!B35</f>
        <v>200</v>
      </c>
      <c r="G17" s="2316"/>
      <c r="H17" s="2465" t="s">
        <v>2743</v>
      </c>
      <c r="I17" s="688" t="s">
        <v>528</v>
      </c>
      <c r="J17" s="319">
        <f ca="1">ROUND(IF(项目基本情况!B11="自然人",J5*M17,J18+J19+J20),1)</f>
        <v>358.1</v>
      </c>
      <c r="K17" s="3359" t="s">
        <v>1168</v>
      </c>
      <c r="L17" s="3358"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3011</v>
      </c>
      <c r="B18" s="688" t="s">
        <v>529</v>
      </c>
      <c r="C18" s="319">
        <f>ROUND(C14*F18,0)</f>
        <v>462</v>
      </c>
      <c r="D18" s="688" t="s">
        <v>1162</v>
      </c>
      <c r="E18" s="688" t="s">
        <v>530</v>
      </c>
      <c r="F18" s="711">
        <f>'数据-取费表'!B36</f>
        <v>1.4999999999999999E-2</v>
      </c>
      <c r="G18" s="2316"/>
      <c r="H18" s="2465" t="s">
        <v>2740</v>
      </c>
      <c r="I18" s="688" t="s">
        <v>1170</v>
      </c>
      <c r="J18" s="319">
        <f ca="1">ROUND(J5*M18/(1+'数据-取费表'!B42),2)</f>
        <v>0</v>
      </c>
      <c r="K18" s="3358"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2743</v>
      </c>
      <c r="B19" s="688" t="s">
        <v>531</v>
      </c>
      <c r="C19" s="319">
        <f ca="1">SUM(C14:C18)</f>
        <v>34986</v>
      </c>
      <c r="D19" s="475" t="s">
        <v>1172</v>
      </c>
      <c r="E19" s="3362"/>
      <c r="F19" s="321"/>
      <c r="G19" s="2315"/>
      <c r="H19" s="2465" t="s">
        <v>3008</v>
      </c>
      <c r="I19" s="688" t="s">
        <v>1173</v>
      </c>
      <c r="J19" s="319">
        <f ca="1">IF(K19="按租金收入计税",ROUND(J5*M19,2),ROUND(C29*M19*0.7,2))</f>
        <v>358.05</v>
      </c>
      <c r="K19" s="1305" t="s">
        <v>2793</v>
      </c>
      <c r="L19" s="688" t="s">
        <v>530</v>
      </c>
      <c r="M19" s="711">
        <f>IF(K19="按租金收入计税",'数据-取费表'!B51,'数据-取费表'!B50)</f>
        <v>1.2E-2</v>
      </c>
    </row>
    <row r="20" spans="1:37" s="710" customFormat="1" ht="18" customHeight="1">
      <c r="A20" s="2465" t="s">
        <v>3012</v>
      </c>
      <c r="B20" s="688" t="s">
        <v>532</v>
      </c>
      <c r="C20" s="319">
        <f ca="1">ROUND(C19*F20,0)</f>
        <v>525</v>
      </c>
      <c r="D20" s="713" t="s">
        <v>1174</v>
      </c>
      <c r="E20" s="688" t="s">
        <v>530</v>
      </c>
      <c r="F20" s="711">
        <f>'数据-取费表'!B37</f>
        <v>1.4999999999999999E-2</v>
      </c>
      <c r="G20" s="2316"/>
      <c r="H20" s="2465" t="s">
        <v>3009</v>
      </c>
      <c r="I20" s="500" t="s">
        <v>1175</v>
      </c>
      <c r="J20" s="320">
        <f ca="1">ROUND(M20*M21/10000,2)</f>
        <v>0</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3013</v>
      </c>
      <c r="B21" s="688" t="s">
        <v>1178</v>
      </c>
      <c r="C21" s="319" t="s">
        <v>23</v>
      </c>
      <c r="D21" s="713" t="s">
        <v>1179</v>
      </c>
      <c r="E21" s="688" t="s">
        <v>1180</v>
      </c>
      <c r="F21" s="711">
        <f>'数据-取费表'!B38</f>
        <v>0.02</v>
      </c>
      <c r="G21" s="2316"/>
      <c r="H21" s="716"/>
      <c r="I21" s="697"/>
      <c r="J21" s="324"/>
      <c r="K21" s="717"/>
      <c r="L21" s="688" t="s">
        <v>1181</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3014</v>
      </c>
      <c r="B22" s="688" t="s">
        <v>1182</v>
      </c>
      <c r="C22" s="319"/>
      <c r="D22" s="2737" t="str">
        <f>IF(F23&lt;=1,"单利计息。","复利计息。")&amp;"建造成本、管理费用、销售费用产生的利息。"</f>
        <v>复利计息。建造成本、管理费用、销售费用产生的利息。</v>
      </c>
      <c r="E22" s="3362"/>
      <c r="F22" s="321"/>
      <c r="G22" s="2315"/>
      <c r="H22" s="2465" t="s">
        <v>2750</v>
      </c>
      <c r="I22" s="688" t="s">
        <v>1183</v>
      </c>
      <c r="J22" s="319">
        <f ca="1">ROUND(J14*M22,1)</f>
        <v>639.4</v>
      </c>
      <c r="K22" s="3358" t="s">
        <v>1184</v>
      </c>
      <c r="L22" s="688" t="s">
        <v>530</v>
      </c>
      <c r="M22" s="718">
        <f ca="1">INDIRECT("'数据-取费表'!Ak"&amp;$G$1)</f>
        <v>1.4999999999999999E-2</v>
      </c>
    </row>
    <row r="23" spans="1:37" s="710" customFormat="1" ht="18" customHeight="1">
      <c r="A23" s="2465" t="s">
        <v>2740</v>
      </c>
      <c r="B23" s="688" t="s">
        <v>2928</v>
      </c>
      <c r="C23" s="319">
        <f ca="1">IF('数据-取费表'!B22&lt;=1,ROUND(C19*F24*F23/2,0)+ROUND(C20*F24*F23/2,0),ROUND(C19*(POWER((1+F24),F23/2)-1),0)+ROUND(C20*(POWER((1+F24),F23/2)-1),0))</f>
        <v>2120</v>
      </c>
      <c r="D23" s="2741" t="str">
        <f>IF(F23&lt;=1,"(建造成本+管理费用)×利率×(建设周期÷2)","(建造成本+管理费用)×((1+利率)^(建设周期÷2)-1)")</f>
        <v>(建造成本+管理费用)×((1+利率)^(建设周期÷2)-1)</v>
      </c>
      <c r="E23" s="688" t="s">
        <v>1185</v>
      </c>
      <c r="F23" s="715">
        <f>'数据-取费表'!B20</f>
        <v>2.5</v>
      </c>
      <c r="G23" s="2316"/>
      <c r="H23" s="2465" t="s">
        <v>3013</v>
      </c>
      <c r="I23" s="688" t="s">
        <v>533</v>
      </c>
      <c r="J23" s="319">
        <f ca="1">ROUND(J13*M23,1)</f>
        <v>0</v>
      </c>
      <c r="K23" s="3358" t="s">
        <v>534</v>
      </c>
      <c r="L23" s="688" t="s">
        <v>530</v>
      </c>
      <c r="M23" s="720">
        <f ca="1">INDIRECT("'数据-取费表'!Al"&amp;$G$1)</f>
        <v>3.0000000000000001E-3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2746</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3014</v>
      </c>
      <c r="I24" s="2715" t="s">
        <v>532</v>
      </c>
      <c r="J24" s="2716">
        <f ca="1">ROUND(J5*M24,1)</f>
        <v>0</v>
      </c>
      <c r="K24" s="2717" t="s">
        <v>536</v>
      </c>
      <c r="L24" s="2715" t="s">
        <v>530</v>
      </c>
      <c r="M24" s="2711">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2747</v>
      </c>
      <c r="B25" s="688" t="s">
        <v>537</v>
      </c>
      <c r="C25" s="319"/>
      <c r="D25" s="475" t="s">
        <v>1190</v>
      </c>
      <c r="E25" s="3362"/>
      <c r="F25" s="321"/>
      <c r="G25" s="2315"/>
      <c r="H25" s="2702" t="s">
        <v>2723</v>
      </c>
      <c r="I25" s="2719" t="s">
        <v>542</v>
      </c>
      <c r="J25" s="696">
        <f ca="1">J5-J16</f>
        <v>-998</v>
      </c>
      <c r="K25" s="2720" t="s">
        <v>543</v>
      </c>
      <c r="L25" s="2721"/>
      <c r="M25" s="2722"/>
    </row>
    <row r="26" spans="1:37" ht="18" customHeight="1">
      <c r="A26" s="2465" t="s">
        <v>2740</v>
      </c>
      <c r="B26" s="688" t="s">
        <v>2929</v>
      </c>
      <c r="C26" s="319">
        <f ca="1">ROUND((C19+C20)*F26,0)</f>
        <v>1776</v>
      </c>
      <c r="D26" s="713" t="s">
        <v>1193</v>
      </c>
      <c r="E26" s="699" t="s">
        <v>1194</v>
      </c>
      <c r="F26" s="3366">
        <v>0.05</v>
      </c>
      <c r="G26" s="2315"/>
      <c r="H26" s="685" t="s">
        <v>2726</v>
      </c>
      <c r="I26" s="686" t="s">
        <v>1195</v>
      </c>
      <c r="J26" s="687">
        <f ca="1">IF(J5&lt;&gt;0,ROUND(J25*(1-((1+M28)/(1+M26))^M27)/(M26-M28),0),0)</f>
        <v>0</v>
      </c>
      <c r="K26" s="714" t="s">
        <v>538</v>
      </c>
      <c r="L26" s="688" t="s">
        <v>539</v>
      </c>
      <c r="M26" s="698">
        <f ca="1">INDIRECT("'数据-取费表'!I"&amp;$G$1)</f>
        <v>0</v>
      </c>
    </row>
    <row r="27" spans="1:37" ht="18" customHeight="1">
      <c r="A27" s="2465" t="s">
        <v>2746</v>
      </c>
      <c r="B27" s="688" t="s">
        <v>540</v>
      </c>
      <c r="C27" s="319">
        <f>ROUND(F21*F26,4)</f>
        <v>1E-3</v>
      </c>
      <c r="D27" s="713" t="s">
        <v>1197</v>
      </c>
      <c r="E27" s="708"/>
      <c r="F27" s="709"/>
      <c r="G27" s="2315"/>
      <c r="H27" s="690"/>
      <c r="I27" s="691"/>
      <c r="J27" s="692"/>
      <c r="K27" s="722" t="s">
        <v>1198</v>
      </c>
      <c r="L27" s="688" t="s">
        <v>546</v>
      </c>
      <c r="M27" s="723">
        <f ca="1">INDIRECT("'数据-取费表'!ag"&amp;$G$1)</f>
        <v>0</v>
      </c>
    </row>
    <row r="28" spans="1:37" s="710" customFormat="1" ht="18" customHeight="1">
      <c r="A28" s="2465" t="s">
        <v>2748</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2749</v>
      </c>
      <c r="B29" s="2715" t="s">
        <v>1206</v>
      </c>
      <c r="C29" s="2716">
        <f ca="1">ROUND((C19+C20+C23+C26)/(1-F21-C24-C27-C28),0)</f>
        <v>42625</v>
      </c>
      <c r="D29" s="2717"/>
      <c r="E29" s="2715"/>
      <c r="F29" s="2718"/>
      <c r="G29" s="2316"/>
      <c r="H29" s="724" t="s">
        <v>2733</v>
      </c>
      <c r="I29" s="725" t="s">
        <v>1199</v>
      </c>
      <c r="J29" s="726">
        <f ca="1">ROUND(J26/(1+F40)^F41,0)</f>
        <v>0</v>
      </c>
      <c r="K29" s="727" t="s">
        <v>1200</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2708</v>
      </c>
      <c r="B30" s="2703" t="s">
        <v>1164</v>
      </c>
      <c r="C30" s="696">
        <f ca="1">ROUND(C31+C36+C37+C38,0)</f>
        <v>518</v>
      </c>
      <c r="D30" s="2712" t="s">
        <v>1165</v>
      </c>
      <c r="E30" s="2713"/>
      <c r="F30" s="2663"/>
      <c r="G30" s="2315"/>
      <c r="H30" s="1282"/>
      <c r="I30" s="1283"/>
      <c r="J30" s="1284"/>
      <c r="K30" s="1285"/>
      <c r="L30" s="1286"/>
      <c r="M30" s="1287"/>
    </row>
    <row r="31" spans="1:37" ht="18" customHeight="1">
      <c r="A31" s="2465" t="s">
        <v>2743</v>
      </c>
      <c r="B31" s="688" t="s">
        <v>528</v>
      </c>
      <c r="C31" s="319">
        <f ca="1">ROUND(IF(项目基本情况!B11="自然人",C5*F31,C32+C33+C34),1)</f>
        <v>369.1</v>
      </c>
      <c r="D31" s="3359" t="s">
        <v>1168</v>
      </c>
      <c r="E31" s="3358" t="s">
        <v>1207</v>
      </c>
      <c r="F31" s="712" t="str">
        <f ca="1">IF(项目基本情况!B11="企业","",IF(INDIRECT("'数据-取费表'!c"&amp;$G$1)="住宅",4.5%,IF(F6*F7*F8/12&gt;20000,11%,6%)))</f>
        <v/>
      </c>
      <c r="G31" s="2315"/>
      <c r="H31" s="1282"/>
      <c r="I31" s="1283"/>
      <c r="J31" s="1284"/>
      <c r="K31" s="1285"/>
      <c r="L31" s="1286"/>
      <c r="M31" s="1287"/>
    </row>
    <row r="32" spans="1:37" ht="18" customHeight="1">
      <c r="A32" s="2465" t="s">
        <v>2740</v>
      </c>
      <c r="B32" s="688" t="s">
        <v>1170</v>
      </c>
      <c r="C32" s="319">
        <f ca="1">IF(项目基本情况!B11="自然人","——",ROUND(C5*F32/(1+'数据-取费表'!B42),2))</f>
        <v>2.08</v>
      </c>
      <c r="D32" s="3358" t="s">
        <v>1171</v>
      </c>
      <c r="E32" s="688" t="s">
        <v>530</v>
      </c>
      <c r="F32" s="721">
        <f>'数据-取费表'!B41</f>
        <v>5.6000000000000001E-2</v>
      </c>
      <c r="G32" s="2315"/>
      <c r="H32" s="1288"/>
      <c r="I32" s="1289"/>
      <c r="J32" s="1290"/>
      <c r="K32" s="1291"/>
      <c r="L32" s="1292"/>
      <c r="M32" s="1293"/>
    </row>
    <row r="33" spans="1:18" ht="18" customHeight="1">
      <c r="A33" s="2465" t="s">
        <v>3008</v>
      </c>
      <c r="B33" s="688" t="s">
        <v>1173</v>
      </c>
      <c r="C33" s="3369">
        <f ca="1">IF(项目基本情况!B11="自然人","——",IF(D33="按租金收入计税",ROUND(C5*F33,2),IF(D33="按房产原值计税",ROUND(C29*F33*0.7,2),INDIRECT("'数据-取费表'!Aj"&amp;$G$1))))</f>
        <v>358.05</v>
      </c>
      <c r="D33" s="1305" t="s">
        <v>2793</v>
      </c>
      <c r="E33" s="688" t="s">
        <v>530</v>
      </c>
      <c r="F33" s="3372">
        <f>IF(D33="按票据","——",IF(D33="按租金收入计税",'数据-取费表'!B51,'数据-取费表'!B50))</f>
        <v>1.2E-2</v>
      </c>
      <c r="G33" s="2315"/>
      <c r="H33" s="1294"/>
      <c r="I33" s="2920"/>
      <c r="J33" s="2921"/>
      <c r="K33" s="1295"/>
      <c r="L33" s="1294"/>
      <c r="M33" s="1294"/>
    </row>
    <row r="34" spans="1:18" ht="18" customHeight="1">
      <c r="A34" s="2657" t="s">
        <v>3009</v>
      </c>
      <c r="B34" s="500" t="s">
        <v>1175</v>
      </c>
      <c r="C34" s="3370">
        <f>IF(项目基本情况!B11="自然人","——",ROUND(F34*F35/10000,2))</f>
        <v>9</v>
      </c>
      <c r="D34" s="714" t="s">
        <v>1176</v>
      </c>
      <c r="E34" s="688" t="s">
        <v>1177</v>
      </c>
      <c r="F34" s="3373">
        <f>'数据-取费表'!B52</f>
        <v>18</v>
      </c>
      <c r="G34" s="2315"/>
      <c r="H34" s="1282"/>
      <c r="I34" s="2920"/>
      <c r="J34" s="2921"/>
      <c r="K34" s="1296"/>
      <c r="L34" s="1297"/>
      <c r="M34" s="1297"/>
    </row>
    <row r="35" spans="1:18" ht="18" customHeight="1">
      <c r="A35" s="2732"/>
      <c r="B35" s="2730"/>
      <c r="C35" s="3371"/>
      <c r="D35" s="717"/>
      <c r="E35" s="688" t="s">
        <v>1181</v>
      </c>
      <c r="F35" s="3365">
        <v>5000</v>
      </c>
      <c r="G35" s="2315"/>
      <c r="H35" s="1282"/>
      <c r="I35" s="2920"/>
      <c r="J35" s="2921"/>
      <c r="K35" s="1295"/>
      <c r="L35" s="1294"/>
      <c r="M35" s="1294"/>
    </row>
    <row r="36" spans="1:18" ht="18" customHeight="1">
      <c r="A36" s="2731" t="s">
        <v>2750</v>
      </c>
      <c r="B36" s="688" t="s">
        <v>1183</v>
      </c>
      <c r="C36" s="319">
        <f ca="1">ROUND(C29*F36,1)</f>
        <v>85.3</v>
      </c>
      <c r="D36" s="3358" t="s">
        <v>1213</v>
      </c>
      <c r="E36" s="688" t="s">
        <v>530</v>
      </c>
      <c r="F36" s="3374">
        <v>2E-3</v>
      </c>
      <c r="G36" s="2315"/>
      <c r="H36" s="1294"/>
      <c r="I36" s="2920"/>
      <c r="J36" s="2921"/>
      <c r="K36" s="1298"/>
      <c r="L36" s="1294"/>
      <c r="M36" s="1294"/>
    </row>
    <row r="37" spans="1:18" ht="18" customHeight="1">
      <c r="A37" s="2465" t="s">
        <v>3013</v>
      </c>
      <c r="B37" s="688" t="s">
        <v>533</v>
      </c>
      <c r="C37" s="319">
        <f ca="1">ROUND(C13*F37,1)</f>
        <v>63.9</v>
      </c>
      <c r="D37" s="3358" t="s">
        <v>534</v>
      </c>
      <c r="E37" s="688" t="s">
        <v>530</v>
      </c>
      <c r="F37" s="3375">
        <v>1.5E-3</v>
      </c>
      <c r="G37" s="2315"/>
      <c r="H37" s="1294"/>
      <c r="I37" s="2920"/>
      <c r="J37" s="2921"/>
      <c r="K37" s="1298"/>
      <c r="L37" s="1294"/>
      <c r="M37" s="1294"/>
    </row>
    <row r="38" spans="1:18" ht="18" customHeight="1" thickBot="1">
      <c r="A38" s="2714" t="s">
        <v>3014</v>
      </c>
      <c r="B38" s="2715" t="s">
        <v>532</v>
      </c>
      <c r="C38" s="2716">
        <f ca="1">ROUND(C5*F38,1)</f>
        <v>0.1</v>
      </c>
      <c r="D38" s="2717" t="s">
        <v>536</v>
      </c>
      <c r="E38" s="2715" t="s">
        <v>530</v>
      </c>
      <c r="F38" s="3376">
        <v>2E-3</v>
      </c>
      <c r="G38" s="2315"/>
      <c r="H38" s="1294"/>
      <c r="I38" s="2920"/>
      <c r="J38" s="2921"/>
      <c r="K38" s="1299"/>
      <c r="L38" s="1294"/>
      <c r="M38" s="1294"/>
    </row>
    <row r="39" spans="1:18" ht="24.6" customHeight="1" thickTop="1">
      <c r="A39" s="2702" t="s">
        <v>2723</v>
      </c>
      <c r="B39" s="2719" t="s">
        <v>542</v>
      </c>
      <c r="C39" s="696">
        <f ca="1">C5-C30</f>
        <v>-479</v>
      </c>
      <c r="D39" s="2720" t="s">
        <v>543</v>
      </c>
      <c r="E39" s="2721"/>
      <c r="F39" s="2722"/>
      <c r="G39" s="2315"/>
      <c r="H39" s="1294"/>
      <c r="I39" s="2920"/>
      <c r="J39" s="2921"/>
      <c r="K39" s="1299"/>
      <c r="L39" s="1294"/>
      <c r="M39" s="1294"/>
    </row>
    <row r="40" spans="1:18" ht="18" customHeight="1">
      <c r="A40" s="685" t="s">
        <v>2726</v>
      </c>
      <c r="B40" s="686" t="s">
        <v>544</v>
      </c>
      <c r="C40" s="687">
        <f ca="1">ROUND(C39*(1-((1+F42)/(1+F40))^F41)/(F40-F42),0)</f>
        <v>-11886</v>
      </c>
      <c r="D40" s="714" t="s">
        <v>538</v>
      </c>
      <c r="E40" s="688" t="s">
        <v>539</v>
      </c>
      <c r="F40" s="3366">
        <v>4.4999999999999998E-2</v>
      </c>
      <c r="G40" s="2315"/>
      <c r="H40" s="1300"/>
      <c r="I40" s="2920"/>
      <c r="J40" s="2921"/>
      <c r="K40" s="1299"/>
      <c r="L40" s="1300"/>
      <c r="M40" s="1300"/>
    </row>
    <row r="41" spans="1:18" ht="18" customHeight="1">
      <c r="A41" s="690"/>
      <c r="B41" s="691"/>
      <c r="C41" s="692"/>
      <c r="D41" s="722" t="s">
        <v>545</v>
      </c>
      <c r="E41" s="688" t="s">
        <v>546</v>
      </c>
      <c r="F41" s="3377">
        <v>40</v>
      </c>
      <c r="G41" s="2315"/>
      <c r="H41" s="1196"/>
      <c r="I41" s="2920"/>
      <c r="J41" s="2921"/>
      <c r="K41" s="1298"/>
      <c r="L41" s="1196"/>
      <c r="M41" s="1196"/>
    </row>
    <row r="42" spans="1:18" ht="18" customHeight="1">
      <c r="A42" s="694"/>
      <c r="B42" s="695"/>
      <c r="C42" s="696"/>
      <c r="D42" s="717"/>
      <c r="E42" s="688" t="s">
        <v>547</v>
      </c>
      <c r="F42" s="3366">
        <v>0.02</v>
      </c>
      <c r="G42" s="2315"/>
      <c r="H42" s="1196"/>
      <c r="I42" s="2920"/>
      <c r="J42" s="2921"/>
      <c r="K42" s="1298"/>
      <c r="L42" s="1196"/>
      <c r="M42" s="1196"/>
    </row>
    <row r="43" spans="1:18" ht="18" customHeight="1" thickBot="1">
      <c r="A43" s="724" t="s">
        <v>2733</v>
      </c>
      <c r="B43" s="725" t="s">
        <v>548</v>
      </c>
      <c r="C43" s="726">
        <f ca="1">ROUND(C40*10000/F43,0)</f>
        <v>-849</v>
      </c>
      <c r="D43" s="727" t="s">
        <v>549</v>
      </c>
      <c r="E43" s="728" t="s">
        <v>550</v>
      </c>
      <c r="F43" s="3378">
        <f>40*3500</f>
        <v>140000</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2876</v>
      </c>
      <c r="P45" s="1300"/>
      <c r="Q45" s="1300"/>
      <c r="R45" s="1300"/>
    </row>
    <row r="46" spans="1:18" s="1480" customFormat="1" ht="21" thickBot="1">
      <c r="A46" s="2423" t="s">
        <v>2695</v>
      </c>
      <c r="B46" s="2424"/>
      <c r="C46" s="2761">
        <f ca="1">C68-C40</f>
        <v>4395648</v>
      </c>
      <c r="D46" s="2762" t="str">
        <f>C2</f>
        <v>万元</v>
      </c>
      <c r="E46" s="1437"/>
      <c r="F46" s="1437"/>
      <c r="I46" s="2609" t="s">
        <v>2809</v>
      </c>
      <c r="J46" s="2610"/>
      <c r="K46" s="2611"/>
      <c r="L46" s="3379">
        <v>0</v>
      </c>
      <c r="O46" s="2625" t="s">
        <v>2854</v>
      </c>
      <c r="P46" s="2626" t="s">
        <v>2855</v>
      </c>
      <c r="Q46" s="2627" t="s">
        <v>2853</v>
      </c>
      <c r="R46" s="2627" t="s">
        <v>2856</v>
      </c>
    </row>
    <row r="47" spans="1:18" s="1480" customFormat="1" ht="15.75" thickBot="1">
      <c r="A47" s="2425" t="s">
        <v>1148</v>
      </c>
      <c r="B47" s="2461" t="s">
        <v>1149</v>
      </c>
      <c r="C47" s="2766" t="s">
        <v>1150</v>
      </c>
      <c r="D47" s="2461" t="s">
        <v>1151</v>
      </c>
      <c r="E47" s="2565" t="s">
        <v>1152</v>
      </c>
      <c r="F47" s="2566"/>
      <c r="G47" s="1482"/>
      <c r="I47" s="2584" t="s">
        <v>2802</v>
      </c>
      <c r="J47" s="2585" t="s">
        <v>131</v>
      </c>
      <c r="K47" s="2594" t="s">
        <v>2825</v>
      </c>
      <c r="L47" s="2595">
        <f ca="1">INDIRECT("'数据-取费表'!d"&amp;$G$1)</f>
        <v>40</v>
      </c>
      <c r="M47" s="2615" t="str">
        <f>IF(ISNUMBER(FIND("住宅",C1)),"住宅","非住宅")</f>
        <v>非住宅</v>
      </c>
      <c r="O47" s="2618" t="s">
        <v>2838</v>
      </c>
      <c r="P47" s="2628" t="s">
        <v>2857</v>
      </c>
      <c r="Q47" s="2619">
        <f ca="1">C40+J29</f>
        <v>-11886</v>
      </c>
      <c r="R47" s="2619" t="s">
        <v>2858</v>
      </c>
    </row>
    <row r="48" spans="1:18" s="1480" customFormat="1" ht="47.25" thickBot="1">
      <c r="A48" s="2747" t="s">
        <v>3019</v>
      </c>
      <c r="B48" s="686" t="s">
        <v>2702</v>
      </c>
      <c r="C48" s="3361">
        <f ca="1">C49+C53+C55</f>
        <v>172942</v>
      </c>
      <c r="D48" s="2751"/>
      <c r="E48" s="2752"/>
      <c r="F48" s="2445"/>
      <c r="G48" s="1482"/>
      <c r="H48" s="1483"/>
      <c r="I48" s="2574" t="s">
        <v>2803</v>
      </c>
      <c r="J48" s="2586" t="s">
        <v>2804</v>
      </c>
      <c r="K48" s="2596" t="s">
        <v>908</v>
      </c>
      <c r="L48" s="2192">
        <f ca="1">INDIRECT("'数据-取费表'!f"&amp;$G$1)</f>
        <v>38.85</v>
      </c>
      <c r="O48" s="2618" t="s">
        <v>2839</v>
      </c>
      <c r="P48" s="2628" t="s">
        <v>2859</v>
      </c>
      <c r="Q48" s="2619">
        <f ca="1">J60</f>
        <v>599</v>
      </c>
      <c r="R48" s="2619" t="s">
        <v>2867</v>
      </c>
    </row>
    <row r="49" spans="1:18" s="1480" customFormat="1" ht="16.5" thickBot="1">
      <c r="A49" s="2458" t="s">
        <v>3020</v>
      </c>
      <c r="B49" s="2750" t="s">
        <v>3022</v>
      </c>
      <c r="C49" s="2759">
        <f>ROUND(F49*F51*F50*(1-F52)/10000,0)</f>
        <v>172463</v>
      </c>
      <c r="D49" s="2561" t="s">
        <v>2703</v>
      </c>
      <c r="E49" s="2564" t="s">
        <v>2696</v>
      </c>
      <c r="F49" s="2567">
        <v>1500</v>
      </c>
      <c r="G49" s="1484"/>
      <c r="H49" s="1483"/>
      <c r="I49" s="2574" t="s">
        <v>2823</v>
      </c>
      <c r="J49" s="3312">
        <v>2018</v>
      </c>
      <c r="K49" s="2597" t="s">
        <v>2828</v>
      </c>
      <c r="L49" s="2598">
        <v>5000</v>
      </c>
      <c r="O49" s="2620" t="s">
        <v>2840</v>
      </c>
      <c r="P49" s="2628" t="s">
        <v>2860</v>
      </c>
      <c r="Q49" s="2619">
        <f ca="1">C29</f>
        <v>42625</v>
      </c>
      <c r="R49" s="2619" t="s">
        <v>2858</v>
      </c>
    </row>
    <row r="50" spans="1:18" s="1480" customFormat="1" ht="15.75" thickBot="1">
      <c r="A50" s="2459"/>
      <c r="B50" s="2462"/>
      <c r="C50" s="2767"/>
      <c r="D50" s="2432"/>
      <c r="E50" s="2562" t="s">
        <v>1154</v>
      </c>
      <c r="F50" s="2563">
        <f>F7</f>
        <v>3500</v>
      </c>
      <c r="H50" s="1483"/>
      <c r="I50" s="2574" t="s">
        <v>2805</v>
      </c>
      <c r="J50" s="2588">
        <f>SUMPRODUCT((I63:I65=J47)*(J62:L62=J48)*(J63:L65))</f>
        <v>60</v>
      </c>
      <c r="K50" s="2597" t="s">
        <v>2829</v>
      </c>
      <c r="L50" s="2598">
        <v>0</v>
      </c>
      <c r="M50" s="2592"/>
      <c r="O50" s="2620" t="s">
        <v>2841</v>
      </c>
      <c r="P50" s="2628" t="s">
        <v>2868</v>
      </c>
      <c r="Q50" s="2621">
        <f>J58</f>
        <v>0.4</v>
      </c>
      <c r="R50" s="2619"/>
    </row>
    <row r="51" spans="1:18" s="1480" customFormat="1" ht="15.75" thickBot="1">
      <c r="A51" s="2460"/>
      <c r="B51" s="2462"/>
      <c r="C51" s="2463"/>
      <c r="D51" s="2432"/>
      <c r="E51" s="2464" t="s">
        <v>1155</v>
      </c>
      <c r="F51" s="689">
        <f>F8</f>
        <v>365</v>
      </c>
      <c r="I51" s="2589" t="s">
        <v>2810</v>
      </c>
      <c r="J51" s="2590">
        <f>IF(J49="",J50,J49+J50-YEAR('数据-取费表'!B2))</f>
        <v>61</v>
      </c>
      <c r="K51" s="2599" t="s">
        <v>2830</v>
      </c>
      <c r="L51" s="2612">
        <f ca="1">ROUND(-PV(INDIRECT("'数据-取费表'!h"&amp;$G$1),L48,(C39-C13*C76),0),0)</f>
        <v>-18609</v>
      </c>
      <c r="M51" s="2593"/>
      <c r="O51" s="2620" t="s">
        <v>2842</v>
      </c>
      <c r="P51" s="2628" t="s">
        <v>2869</v>
      </c>
      <c r="Q51" s="2621">
        <f>J52</f>
        <v>0.09</v>
      </c>
      <c r="R51" s="2619"/>
    </row>
    <row r="52" spans="1:18" s="1480" customFormat="1" ht="16.5" thickBot="1">
      <c r="A52" s="2460"/>
      <c r="B52" s="2462"/>
      <c r="C52" s="2463"/>
      <c r="D52" s="2432"/>
      <c r="E52" s="2464" t="s">
        <v>1156</v>
      </c>
      <c r="F52" s="2560">
        <v>0.1</v>
      </c>
      <c r="I52" s="2591" t="s">
        <v>2834</v>
      </c>
      <c r="J52" s="3311">
        <v>0.09</v>
      </c>
      <c r="K52" s="2591" t="s">
        <v>2818</v>
      </c>
      <c r="L52" s="2605">
        <v>0.04</v>
      </c>
      <c r="M52" s="2424"/>
      <c r="O52" s="2620" t="s">
        <v>2843</v>
      </c>
      <c r="P52" s="2628" t="s">
        <v>2861</v>
      </c>
      <c r="Q52" s="2619">
        <f ca="1">J53</f>
        <v>38.85</v>
      </c>
      <c r="R52" s="2619" t="s">
        <v>2862</v>
      </c>
    </row>
    <row r="53" spans="1:18" s="1480" customFormat="1" ht="43.5" thickBot="1">
      <c r="A53" s="2865" t="s">
        <v>3021</v>
      </c>
      <c r="B53" s="437" t="s">
        <v>2931</v>
      </c>
      <c r="C53" s="702">
        <f ca="1">ROUND(IF(F53="押一",F49*F51*F50/12*F11,IF(F53="押二",F49*F51*F50/12*2*F11,IF(F53="押三",F49*F51*F50/12*3*F11,C54*F11)))/10000,0)</f>
        <v>479</v>
      </c>
      <c r="D53" s="2669" t="s">
        <v>2939</v>
      </c>
      <c r="E53" s="2121" t="s">
        <v>2933</v>
      </c>
      <c r="F53" s="2867" t="s">
        <v>3025</v>
      </c>
      <c r="I53" s="2601" t="s">
        <v>2836</v>
      </c>
      <c r="J53" s="2602">
        <f ca="1">IF(M47="住宅",J51,MIN(J51,L48))</f>
        <v>38.85</v>
      </c>
      <c r="K53" s="36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64"/>
      <c r="O53" s="2618" t="s">
        <v>2844</v>
      </c>
      <c r="P53" s="2628" t="s">
        <v>2863</v>
      </c>
      <c r="Q53" s="2619">
        <f ca="1">Q47+Q48</f>
        <v>-11287</v>
      </c>
      <c r="R53" s="2619" t="s">
        <v>2845</v>
      </c>
    </row>
    <row r="54" spans="1:18" s="1480" customFormat="1" ht="16.5" thickBot="1">
      <c r="A54" s="2866"/>
      <c r="B54" s="2659" t="s">
        <v>3099</v>
      </c>
      <c r="C54" s="2442"/>
      <c r="D54" s="2669"/>
      <c r="E54" s="3360"/>
      <c r="F54" s="2568"/>
      <c r="I54" s="2439"/>
      <c r="J54" s="2600"/>
      <c r="K54" s="2600"/>
      <c r="L54" s="2600"/>
      <c r="M54" s="1484"/>
      <c r="O54" s="2622" t="s">
        <v>2870</v>
      </c>
      <c r="P54" s="1300"/>
      <c r="Q54" s="1300"/>
      <c r="R54" s="1300"/>
    </row>
    <row r="55" spans="1:18" s="1480" customFormat="1" ht="16.5" thickBot="1">
      <c r="A55" s="2706" t="s">
        <v>2944</v>
      </c>
      <c r="B55" s="2707" t="s">
        <v>2932</v>
      </c>
      <c r="C55" s="2708"/>
      <c r="D55" s="2669"/>
      <c r="E55" s="3360"/>
      <c r="F55" s="2568"/>
      <c r="I55" s="2571" t="s">
        <v>2811</v>
      </c>
      <c r="J55" s="2572"/>
      <c r="K55" s="2582" t="s">
        <v>2812</v>
      </c>
      <c r="L55" s="2604" t="s">
        <v>2852</v>
      </c>
      <c r="O55" s="2625" t="s">
        <v>2854</v>
      </c>
      <c r="P55" s="2626" t="s">
        <v>2855</v>
      </c>
      <c r="Q55" s="2627" t="s">
        <v>2853</v>
      </c>
      <c r="R55" s="2627" t="s">
        <v>2856</v>
      </c>
    </row>
    <row r="56" spans="1:18" s="1480" customFormat="1" ht="44.25" thickTop="1" thickBot="1">
      <c r="A56" s="2436">
        <v>2</v>
      </c>
      <c r="B56" s="2437" t="s">
        <v>1157</v>
      </c>
      <c r="C56" s="612">
        <f ca="1">C13</f>
        <v>42625</v>
      </c>
      <c r="D56" s="2734"/>
      <c r="E56" s="2438"/>
      <c r="F56" s="2568"/>
      <c r="I56" s="2573" t="s">
        <v>2813</v>
      </c>
      <c r="J56" s="2603" t="s">
        <v>3530</v>
      </c>
      <c r="K56" s="2574" t="s">
        <v>2817</v>
      </c>
      <c r="L56" s="2192" t="str">
        <f ca="1">IF(L48&lt;J51,"——",L48-J51)</f>
        <v>——</v>
      </c>
      <c r="O56" s="2618" t="s">
        <v>2838</v>
      </c>
      <c r="P56" s="2628" t="s">
        <v>2857</v>
      </c>
      <c r="Q56" s="2619">
        <f ca="1">C40+J29</f>
        <v>-11886</v>
      </c>
      <c r="R56" s="2619" t="s">
        <v>2858</v>
      </c>
    </row>
    <row r="57" spans="1:18" s="1480" customFormat="1" ht="29.25" thickBot="1">
      <c r="A57" s="2569"/>
      <c r="B57" s="2429" t="s">
        <v>1206</v>
      </c>
      <c r="C57" s="618">
        <f ca="1">C29</f>
        <v>42625</v>
      </c>
      <c r="D57" s="2440"/>
      <c r="E57" s="2441"/>
      <c r="F57" s="2570"/>
      <c r="I57" s="2575" t="s">
        <v>2835</v>
      </c>
      <c r="J57" s="2579">
        <f ca="1">IF(OR(M47="住宅",J51&lt;L48,J56="是"),"——",J51-L48)</f>
        <v>22.15</v>
      </c>
      <c r="K57" s="2574" t="s">
        <v>3307</v>
      </c>
      <c r="L57" s="2192" t="str">
        <f ca="1">IF(L48&lt;J51,"——",IF(L55="比较法",L49,IF(L55="基准地价",L50,L51)))</f>
        <v>——</v>
      </c>
      <c r="O57" s="2618" t="s">
        <v>2839</v>
      </c>
      <c r="P57" s="2628" t="s">
        <v>2864</v>
      </c>
      <c r="Q57" s="2619">
        <f ca="1">L60</f>
        <v>0</v>
      </c>
      <c r="R57" s="2619" t="s">
        <v>2879</v>
      </c>
    </row>
    <row r="58" spans="1:18" s="1480" customFormat="1" ht="29.25" thickBot="1">
      <c r="A58" s="701" t="s">
        <v>2708</v>
      </c>
      <c r="B58" s="2437" t="s">
        <v>1164</v>
      </c>
      <c r="C58" s="702">
        <f ca="1">ROUND(C59+C64+C65+C66,0)</f>
        <v>10086</v>
      </c>
      <c r="D58" s="2443" t="s">
        <v>1165</v>
      </c>
      <c r="E58" s="2444"/>
      <c r="F58" s="2445"/>
      <c r="I58" s="2575" t="s">
        <v>2814</v>
      </c>
      <c r="J58" s="3310">
        <v>0.4</v>
      </c>
      <c r="K58" s="2599" t="s">
        <v>3308</v>
      </c>
      <c r="L58" s="2192">
        <f ca="1">IF(ISERROR(POWER(1+L52,L47-L48)*(POWER(1+L52,L48)-1)/(POWER(1+L52,L47)-1)),0,POWER(1+L52,L47-L48)*(POWER(1+L52,L48)-1)/(POWER(1+L52,L47)-1))</f>
        <v>0.9878620852642338</v>
      </c>
      <c r="O58" s="2620" t="s">
        <v>2840</v>
      </c>
      <c r="P58" s="2628" t="s">
        <v>2871</v>
      </c>
      <c r="Q58" s="2619">
        <f>IF(L55="比较法",L49,IF(L55="基准地价",L50,0))</f>
        <v>5000</v>
      </c>
      <c r="R58" s="2619" t="s">
        <v>2858</v>
      </c>
    </row>
    <row r="59" spans="1:18" s="1480" customFormat="1" ht="29.25" thickBot="1">
      <c r="A59" s="2465" t="s">
        <v>2743</v>
      </c>
      <c r="B59" s="2429" t="s">
        <v>528</v>
      </c>
      <c r="C59" s="319">
        <f ca="1">ROUND(IF(项目基本情况!B11="自然人",C48*F59,C60+C61+C62),1)</f>
        <v>9590.6</v>
      </c>
      <c r="D59" s="2446" t="s">
        <v>1168</v>
      </c>
      <c r="E59" s="2447" t="s">
        <v>1169</v>
      </c>
      <c r="F59" s="712" t="str">
        <f ca="1">IF(项目基本情况!B11="企业","",IF(INDIRECT("'数据-取费表'!c"&amp;$G$1)="住宅",4.5%,IF(F49*F50*F51/12&gt;20000,11%,6%)))</f>
        <v/>
      </c>
      <c r="I59" s="2575" t="s">
        <v>2815</v>
      </c>
      <c r="J59" s="2579">
        <f ca="1">IF(OR(M47="住宅",J51&lt;L48,J56="是"),"——",ROUND(C29*J58,0))</f>
        <v>17050</v>
      </c>
      <c r="K59" s="2599" t="s">
        <v>3309</v>
      </c>
      <c r="L59" s="2192">
        <f ca="1">IF(ISERROR(POWER(1+L52,L47-J51)*(POWER(1+L52,J51)-1)/(POWER(1+L52,L47)-1)),0,POWER(1+L52,L47-J51)*(POWER(1+L52,J51)-1)/(POWER(1+L52,L47)-1))</f>
        <v>1.1476357149337533</v>
      </c>
      <c r="O59" s="2620" t="s">
        <v>2841</v>
      </c>
      <c r="P59" s="2628" t="s">
        <v>2872</v>
      </c>
      <c r="Q59" s="2621">
        <f>L52</f>
        <v>0.04</v>
      </c>
      <c r="R59" s="2619"/>
    </row>
    <row r="60" spans="1:18" s="1480" customFormat="1" ht="20.25" thickBot="1">
      <c r="A60" s="2465" t="s">
        <v>2740</v>
      </c>
      <c r="B60" s="2429" t="s">
        <v>1170</v>
      </c>
      <c r="C60" s="319">
        <f ca="1">IF(项目基本情况!B11="自然人","——",ROUND(C48*F60/(1+'数据-取费表'!B42),2))</f>
        <v>9223.57</v>
      </c>
      <c r="D60" s="2447" t="s">
        <v>1171</v>
      </c>
      <c r="E60" s="2429" t="s">
        <v>530</v>
      </c>
      <c r="F60" s="721">
        <f t="shared" ref="F60:F66" si="0">F32</f>
        <v>5.6000000000000001E-2</v>
      </c>
      <c r="I60" s="2576" t="s">
        <v>2816</v>
      </c>
      <c r="J60" s="2581">
        <f ca="1">IF(OR(M47="住宅",J51&lt;L48,J56="是"),"0",ROUND(J59/(1+J52)^J53,0))</f>
        <v>599</v>
      </c>
      <c r="K60" s="2583" t="s">
        <v>2819</v>
      </c>
      <c r="L60" s="2581">
        <f ca="1">IF(OR(M47="住宅",L48&lt;J51),0,ROUND(L57*(L58/L59-1),0))</f>
        <v>0</v>
      </c>
      <c r="O60" s="2620" t="s">
        <v>2842</v>
      </c>
      <c r="P60" s="2628" t="s">
        <v>2873</v>
      </c>
      <c r="Q60" s="2619">
        <f ca="1">L58</f>
        <v>0.9878620852642338</v>
      </c>
      <c r="R60" s="2619" t="s">
        <v>2847</v>
      </c>
    </row>
    <row r="61" spans="1:18" s="1480" customFormat="1" ht="20.25" thickBot="1">
      <c r="A61" s="2465" t="s">
        <v>2741</v>
      </c>
      <c r="B61" s="2429" t="s">
        <v>1173</v>
      </c>
      <c r="C61" s="319">
        <f ca="1">IF(项目基本情况!B11="自然人","——",IF(D61="按租金收入计税",ROUND(C48*F61,2),IF(D61="按房产原值计税",ROUND(C57*F61*0.7,2),INDIRECT("'数据-取费表'!Aj"&amp;$G$1))))</f>
        <v>358.05</v>
      </c>
      <c r="D61" s="1305" t="s">
        <v>2793</v>
      </c>
      <c r="E61" s="2429" t="s">
        <v>530</v>
      </c>
      <c r="F61" s="711">
        <f t="shared" si="0"/>
        <v>1.2E-2</v>
      </c>
      <c r="I61" s="2439"/>
      <c r="J61" s="2439"/>
      <c r="K61" s="2439"/>
      <c r="L61" s="2439"/>
      <c r="O61" s="2620" t="s">
        <v>2843</v>
      </c>
      <c r="P61" s="2628" t="s">
        <v>2874</v>
      </c>
      <c r="Q61" s="2619">
        <f ca="1">L59</f>
        <v>1.1476357149337533</v>
      </c>
      <c r="R61" s="2619" t="s">
        <v>2848</v>
      </c>
    </row>
    <row r="62" spans="1:18" s="1480" customFormat="1" ht="15.75" thickBot="1">
      <c r="A62" s="2465" t="s">
        <v>2742</v>
      </c>
      <c r="B62" s="2428" t="s">
        <v>1175</v>
      </c>
      <c r="C62" s="320">
        <f>IF(项目基本情况!B11="自然人","——",ROUND(F62*F63/10000,2))</f>
        <v>9</v>
      </c>
      <c r="D62" s="2448" t="s">
        <v>1176</v>
      </c>
      <c r="E62" s="2429" t="s">
        <v>1177</v>
      </c>
      <c r="F62" s="715">
        <f t="shared" si="0"/>
        <v>18</v>
      </c>
      <c r="I62" s="2577" t="s">
        <v>2806</v>
      </c>
      <c r="J62" s="2578" t="s">
        <v>2807</v>
      </c>
      <c r="K62" s="2578" t="s">
        <v>2808</v>
      </c>
      <c r="L62" s="2578" t="s">
        <v>2804</v>
      </c>
      <c r="O62" s="2618" t="s">
        <v>2844</v>
      </c>
      <c r="P62" s="2628" t="s">
        <v>2863</v>
      </c>
      <c r="Q62" s="2619">
        <f ca="1">Q56+Q57</f>
        <v>-11886</v>
      </c>
      <c r="R62" s="2619" t="s">
        <v>2845</v>
      </c>
    </row>
    <row r="63" spans="1:18" s="1480" customFormat="1" ht="16.5" thickBot="1">
      <c r="A63" s="716"/>
      <c r="B63" s="2435"/>
      <c r="C63" s="324"/>
      <c r="D63" s="2449"/>
      <c r="E63" s="2429" t="s">
        <v>1181</v>
      </c>
      <c r="F63" s="689">
        <f t="shared" si="0"/>
        <v>5000</v>
      </c>
      <c r="I63" s="2577" t="s">
        <v>2820</v>
      </c>
      <c r="J63" s="2578">
        <v>70</v>
      </c>
      <c r="K63" s="2578">
        <v>50</v>
      </c>
      <c r="L63" s="2578">
        <v>80</v>
      </c>
      <c r="O63" s="2622" t="s">
        <v>2877</v>
      </c>
      <c r="P63" s="1300"/>
      <c r="Q63" s="1300"/>
      <c r="R63" s="1300"/>
    </row>
    <row r="64" spans="1:18" s="1480" customFormat="1" ht="15.75" thickBot="1">
      <c r="A64" s="2465" t="s">
        <v>2750</v>
      </c>
      <c r="B64" s="2429" t="s">
        <v>1183</v>
      </c>
      <c r="C64" s="319">
        <f ca="1">ROUND(C57*F64,1)</f>
        <v>85.3</v>
      </c>
      <c r="D64" s="2447" t="s">
        <v>1213</v>
      </c>
      <c r="E64" s="2429" t="s">
        <v>530</v>
      </c>
      <c r="F64" s="718">
        <f t="shared" si="0"/>
        <v>2E-3</v>
      </c>
      <c r="I64" s="2577" t="s">
        <v>126</v>
      </c>
      <c r="J64" s="2578">
        <v>50</v>
      </c>
      <c r="K64" s="2578">
        <v>35</v>
      </c>
      <c r="L64" s="2578">
        <v>60</v>
      </c>
      <c r="O64" s="2625" t="s">
        <v>2854</v>
      </c>
      <c r="P64" s="2626" t="s">
        <v>2855</v>
      </c>
      <c r="Q64" s="2627" t="s">
        <v>2853</v>
      </c>
      <c r="R64" s="2627" t="s">
        <v>2856</v>
      </c>
    </row>
    <row r="65" spans="1:18" s="1480" customFormat="1" ht="15.75" thickBot="1">
      <c r="A65" s="2465" t="s">
        <v>2744</v>
      </c>
      <c r="B65" s="2429" t="s">
        <v>533</v>
      </c>
      <c r="C65" s="319">
        <f ca="1">ROUND(C56*F65,1)</f>
        <v>63.9</v>
      </c>
      <c r="D65" s="2447" t="s">
        <v>534</v>
      </c>
      <c r="E65" s="2429" t="s">
        <v>530</v>
      </c>
      <c r="F65" s="720">
        <f t="shared" si="0"/>
        <v>1.5E-3</v>
      </c>
      <c r="I65" s="2577" t="s">
        <v>2822</v>
      </c>
      <c r="J65" s="2578">
        <v>40</v>
      </c>
      <c r="K65" s="2578">
        <v>30</v>
      </c>
      <c r="L65" s="2578">
        <v>50</v>
      </c>
      <c r="O65" s="2618" t="s">
        <v>2838</v>
      </c>
      <c r="P65" s="2628" t="s">
        <v>2857</v>
      </c>
      <c r="Q65" s="2619">
        <f ca="1">C40+J29</f>
        <v>-11886</v>
      </c>
      <c r="R65" s="2619" t="s">
        <v>2858</v>
      </c>
    </row>
    <row r="66" spans="1:18" s="1480" customFormat="1" ht="20.25" thickBot="1">
      <c r="A66" s="2465" t="s">
        <v>2745</v>
      </c>
      <c r="B66" s="2429" t="s">
        <v>532</v>
      </c>
      <c r="C66" s="319">
        <f ca="1">ROUND(C48*F66,1)</f>
        <v>345.9</v>
      </c>
      <c r="D66" s="2447" t="s">
        <v>536</v>
      </c>
      <c r="E66" s="2429" t="s">
        <v>530</v>
      </c>
      <c r="F66" s="698">
        <f t="shared" si="0"/>
        <v>2E-3</v>
      </c>
      <c r="O66" s="2618" t="s">
        <v>2839</v>
      </c>
      <c r="P66" s="2628" t="s">
        <v>2864</v>
      </c>
      <c r="Q66" s="2619">
        <f ca="1">L60</f>
        <v>0</v>
      </c>
      <c r="R66" s="2619" t="s">
        <v>2846</v>
      </c>
    </row>
    <row r="67" spans="1:18" s="1480" customFormat="1" ht="24.75" thickBot="1">
      <c r="A67" s="2436" t="s">
        <v>2723</v>
      </c>
      <c r="B67" s="2450" t="s">
        <v>542</v>
      </c>
      <c r="C67" s="702">
        <f ca="1">C48-C58</f>
        <v>162856</v>
      </c>
      <c r="D67" s="2446" t="s">
        <v>543</v>
      </c>
      <c r="E67" s="2451"/>
      <c r="F67" s="2452"/>
      <c r="O67" s="2620" t="s">
        <v>2840</v>
      </c>
      <c r="P67" s="2628" t="s">
        <v>2871</v>
      </c>
      <c r="Q67" s="2623">
        <f ca="1">L51</f>
        <v>-18609</v>
      </c>
      <c r="R67" s="2624" t="s">
        <v>2881</v>
      </c>
    </row>
    <row r="68" spans="1:18" s="1480" customFormat="1" ht="20.25" thickBot="1">
      <c r="A68" s="2426" t="s">
        <v>2726</v>
      </c>
      <c r="B68" s="2427" t="s">
        <v>544</v>
      </c>
      <c r="C68" s="687">
        <f ca="1">ROUND(C67*(1-((1+F70)/(1+F68))^F69)/(F68-F70),0)</f>
        <v>4383762</v>
      </c>
      <c r="D68" s="2448" t="s">
        <v>538</v>
      </c>
      <c r="E68" s="2429" t="s">
        <v>539</v>
      </c>
      <c r="F68" s="698">
        <f>F40</f>
        <v>4.4999999999999998E-2</v>
      </c>
      <c r="O68" s="2620" t="s">
        <v>2841</v>
      </c>
      <c r="P68" s="2629" t="s">
        <v>2875</v>
      </c>
      <c r="Q68" s="2619">
        <f ca="1">ROUND(Q69-Q70*Q71,0)</f>
        <v>-479</v>
      </c>
      <c r="R68" s="2619" t="s">
        <v>2880</v>
      </c>
    </row>
    <row r="69" spans="1:18" s="1480" customFormat="1" ht="15.75" thickBot="1">
      <c r="A69" s="2430"/>
      <c r="B69" s="2431"/>
      <c r="C69" s="692"/>
      <c r="D69" s="2453" t="s">
        <v>1198</v>
      </c>
      <c r="E69" s="2429" t="s">
        <v>546</v>
      </c>
      <c r="F69" s="723">
        <f>F41</f>
        <v>40</v>
      </c>
      <c r="O69" s="2620" t="s">
        <v>2849</v>
      </c>
      <c r="P69" s="2629" t="s">
        <v>2865</v>
      </c>
      <c r="Q69" s="2619">
        <f ca="1">C39</f>
        <v>-479</v>
      </c>
      <c r="R69" s="2619" t="s">
        <v>2858</v>
      </c>
    </row>
    <row r="70" spans="1:18" s="1480" customFormat="1" ht="15.75" thickBot="1">
      <c r="A70" s="2433"/>
      <c r="B70" s="2434"/>
      <c r="C70" s="696"/>
      <c r="D70" s="2449"/>
      <c r="E70" s="2429" t="s">
        <v>547</v>
      </c>
      <c r="F70" s="2560">
        <v>2.5000000000000001E-2</v>
      </c>
      <c r="O70" s="2620" t="s">
        <v>2850</v>
      </c>
      <c r="P70" s="2629" t="s">
        <v>2866</v>
      </c>
      <c r="Q70" s="2619">
        <f ca="1">C13</f>
        <v>42625</v>
      </c>
      <c r="R70" s="2619" t="s">
        <v>2858</v>
      </c>
    </row>
    <row r="71" spans="1:18" s="1480" customFormat="1" ht="15.75" thickBot="1">
      <c r="A71" s="2454" t="s">
        <v>2733</v>
      </c>
      <c r="B71" s="2455" t="s">
        <v>548</v>
      </c>
      <c r="C71" s="726">
        <f ca="1">ROUND(C68*10000/F71,0)</f>
        <v>313126</v>
      </c>
      <c r="D71" s="2456" t="s">
        <v>549</v>
      </c>
      <c r="E71" s="2457" t="s">
        <v>550</v>
      </c>
      <c r="F71" s="729">
        <f>F43</f>
        <v>140000</v>
      </c>
      <c r="I71" s="2424"/>
      <c r="K71" s="2424"/>
      <c r="O71" s="2620" t="s">
        <v>2851</v>
      </c>
      <c r="P71" s="2629" t="s">
        <v>2878</v>
      </c>
      <c r="Q71" s="2621">
        <f ca="1">C76</f>
        <v>0</v>
      </c>
      <c r="R71" s="2619"/>
    </row>
    <row r="72" spans="1:18" s="1480" customFormat="1" ht="15.75" thickBot="1">
      <c r="B72" s="1485"/>
      <c r="C72" s="1485"/>
      <c r="I72" s="2424"/>
      <c r="O72" s="2620" t="s">
        <v>2842</v>
      </c>
      <c r="P72" s="2628" t="s">
        <v>2872</v>
      </c>
      <c r="Q72" s="2621">
        <f>L52</f>
        <v>0.04</v>
      </c>
      <c r="R72" s="2619"/>
    </row>
    <row r="73" spans="1:18" ht="20.25" thickBot="1">
      <c r="A73" s="1480"/>
      <c r="B73" s="1485"/>
      <c r="C73" s="1485"/>
      <c r="D73" s="1480"/>
      <c r="E73" s="1480"/>
      <c r="F73" s="1480"/>
      <c r="I73" s="2614"/>
      <c r="O73" s="2620" t="s">
        <v>2843</v>
      </c>
      <c r="P73" s="2628" t="s">
        <v>2873</v>
      </c>
      <c r="Q73" s="2619">
        <f ca="1">L58</f>
        <v>0.9878620852642338</v>
      </c>
      <c r="R73" s="2619" t="s">
        <v>2847</v>
      </c>
    </row>
    <row r="74" spans="1:18" ht="20.25" thickBot="1">
      <c r="A74" s="1480"/>
      <c r="B74" s="731" t="s">
        <v>551</v>
      </c>
      <c r="C74" s="732"/>
      <c r="D74" s="1480"/>
      <c r="E74" s="1480"/>
      <c r="F74" s="1480"/>
      <c r="O74" s="2620" t="s">
        <v>2882</v>
      </c>
      <c r="P74" s="2628" t="s">
        <v>2874</v>
      </c>
      <c r="Q74" s="2619">
        <f ca="1">L59</f>
        <v>1.1476357149337533</v>
      </c>
      <c r="R74" s="2619" t="s">
        <v>2848</v>
      </c>
    </row>
    <row r="75" spans="1:18" ht="15.75" thickBot="1">
      <c r="A75" s="1480"/>
      <c r="B75" s="733" t="s">
        <v>1211</v>
      </c>
      <c r="C75" s="734">
        <f ca="1">ROUND(C13*C76,0)</f>
        <v>0</v>
      </c>
      <c r="D75" s="1480"/>
      <c r="E75" s="1480"/>
      <c r="F75" s="1480"/>
      <c r="K75" s="1481"/>
      <c r="L75" s="1480"/>
      <c r="O75" s="2618" t="s">
        <v>2844</v>
      </c>
      <c r="P75" s="2628" t="s">
        <v>2863</v>
      </c>
      <c r="Q75" s="2619">
        <f ca="1">Q65+Q66</f>
        <v>-11886</v>
      </c>
      <c r="R75" s="2619" t="s">
        <v>2845</v>
      </c>
    </row>
    <row r="76" spans="1:18">
      <c r="B76" s="735" t="s">
        <v>1212</v>
      </c>
      <c r="C76" s="736">
        <f ca="1">INDIRECT("'数据-取费表'!j"&amp;$G$1)</f>
        <v>0</v>
      </c>
      <c r="I76" s="1480"/>
      <c r="J76" s="1480"/>
      <c r="K76" s="1481"/>
      <c r="L76" s="1480"/>
    </row>
    <row r="77" spans="1:18">
      <c r="B77" s="737" t="s">
        <v>1215</v>
      </c>
      <c r="C77" s="738"/>
      <c r="I77" s="1480"/>
      <c r="J77" s="1480"/>
      <c r="K77" s="1481"/>
      <c r="L77" s="1480"/>
    </row>
    <row r="78" spans="1:18">
      <c r="B78" s="650" t="s">
        <v>1201</v>
      </c>
      <c r="C78" s="739"/>
    </row>
    <row r="79" spans="1:18">
      <c r="B79" s="2912" t="s">
        <v>3106</v>
      </c>
      <c r="C79" s="654">
        <f ca="1">1-C80</f>
        <v>1</v>
      </c>
    </row>
    <row r="80" spans="1:18">
      <c r="B80" s="2912" t="s">
        <v>3105</v>
      </c>
      <c r="C80" s="654">
        <f ca="1">ROUND(C75/C39,3)</f>
        <v>0</v>
      </c>
    </row>
    <row r="81" spans="2:3">
      <c r="B81" s="650" t="s">
        <v>552</v>
      </c>
      <c r="C81" s="651"/>
    </row>
    <row r="82" spans="2:3">
      <c r="B82" s="2911" t="s">
        <v>3104</v>
      </c>
      <c r="C82" s="655">
        <f ca="1">1-C83</f>
        <v>4.5860000000000003</v>
      </c>
    </row>
    <row r="83" spans="2:3">
      <c r="B83" s="2911" t="s">
        <v>3103</v>
      </c>
      <c r="C83" s="654">
        <f ca="1">ROUND(C13/C40,3)</f>
        <v>-3.5859999999999999</v>
      </c>
    </row>
  </sheetData>
  <sheetProtection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G95" sqref="G9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1216</v>
      </c>
      <c r="B1" s="3143" t="s">
        <v>1217</v>
      </c>
      <c r="C1" s="3144" t="s">
        <v>1218</v>
      </c>
      <c r="D1" s="3145" t="s">
        <v>42</v>
      </c>
      <c r="E1" s="3146"/>
      <c r="F1" s="3147" t="s">
        <v>3098</v>
      </c>
      <c r="G1" s="3149" t="s">
        <v>1219</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126186</v>
      </c>
      <c r="C2" s="3139" t="s">
        <v>755</v>
      </c>
      <c r="D2" s="2760" t="e">
        <f ca="1">SUMIF(INDIRECT("'"&amp;F2&amp;"'"&amp;"!A:A"),"承租人权益价值",INDIRECT("'"&amp;F2&amp;"'"&amp;"!c:c"))</f>
        <v>#N/A</v>
      </c>
      <c r="E2" s="3140" t="s">
        <v>1105</v>
      </c>
      <c r="F2" s="3141" t="s">
        <v>3072</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19233</v>
      </c>
      <c r="C3" s="142" t="s">
        <v>1222</v>
      </c>
      <c r="D3" s="746">
        <f>IF(D1="",'数据-汇总表'!E3,SUMIF('数据-汇总表'!$C19:$C33,D1,'数据-汇总表'!$E19:$E33))</f>
        <v>65608.850000000006</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1223</v>
      </c>
      <c r="B4" s="144"/>
      <c r="C4" s="3680" t="s">
        <v>1224</v>
      </c>
      <c r="D4" s="3681"/>
      <c r="E4" s="3682" t="s">
        <v>1225</v>
      </c>
      <c r="F4" s="3683"/>
      <c r="G4" s="3680" t="s">
        <v>1226</v>
      </c>
      <c r="H4" s="3681"/>
      <c r="I4" s="3680" t="s">
        <v>1227</v>
      </c>
      <c r="J4" s="3681"/>
      <c r="K4" s="145" t="s">
        <v>1228</v>
      </c>
      <c r="L4" s="2322"/>
      <c r="M4" s="2323"/>
      <c r="N4" s="2323"/>
      <c r="O4" s="2323"/>
      <c r="P4" s="3684" t="s">
        <v>1223</v>
      </c>
      <c r="Q4" s="3685"/>
      <c r="R4" s="3673" t="s">
        <v>1225</v>
      </c>
      <c r="S4" s="3674"/>
      <c r="T4" s="3673" t="s">
        <v>1226</v>
      </c>
      <c r="U4" s="3674"/>
      <c r="V4" s="3692" t="s">
        <v>1227</v>
      </c>
      <c r="W4" s="3692"/>
      <c r="X4" s="1344"/>
      <c r="Y4" s="3673" t="s">
        <v>1223</v>
      </c>
      <c r="Z4" s="3674"/>
      <c r="AA4" s="3668" t="s">
        <v>1225</v>
      </c>
      <c r="AB4" s="3668" t="s">
        <v>1226</v>
      </c>
      <c r="AC4" s="3668" t="s">
        <v>1227</v>
      </c>
    </row>
    <row r="5" spans="1:29">
      <c r="A5" s="146"/>
      <c r="B5" s="147"/>
      <c r="C5" s="3631" t="s">
        <v>1229</v>
      </c>
      <c r="D5" s="3632"/>
      <c r="E5" s="3629" t="s">
        <v>3462</v>
      </c>
      <c r="F5" s="3630"/>
      <c r="G5" s="3631" t="s">
        <v>3465</v>
      </c>
      <c r="H5" s="3632"/>
      <c r="I5" s="3631" t="s">
        <v>3466</v>
      </c>
      <c r="J5" s="3632"/>
      <c r="K5" s="152"/>
      <c r="L5" s="2322"/>
      <c r="M5" s="2323"/>
      <c r="N5" s="2323"/>
      <c r="O5" s="2323"/>
      <c r="P5" s="3686"/>
      <c r="Q5" s="3687"/>
      <c r="R5" s="3675"/>
      <c r="S5" s="3676"/>
      <c r="T5" s="3675"/>
      <c r="U5" s="3676"/>
      <c r="V5" s="3692"/>
      <c r="W5" s="3692"/>
      <c r="X5" s="1344"/>
      <c r="Y5" s="3675"/>
      <c r="Z5" s="3676"/>
      <c r="AA5" s="3669"/>
      <c r="AB5" s="3669"/>
      <c r="AC5" s="3669"/>
    </row>
    <row r="6" spans="1:29" ht="14.25" thickBot="1">
      <c r="A6" s="148"/>
      <c r="B6" s="149"/>
      <c r="C6" s="3633" t="s">
        <v>1230</v>
      </c>
      <c r="D6" s="3634"/>
      <c r="E6" s="3677" t="s">
        <v>1230</v>
      </c>
      <c r="F6" s="3678"/>
      <c r="G6" s="3633" t="s">
        <v>1230</v>
      </c>
      <c r="H6" s="3634"/>
      <c r="I6" s="3633" t="s">
        <v>1230</v>
      </c>
      <c r="J6" s="3634"/>
      <c r="K6" s="152" t="s">
        <v>1231</v>
      </c>
      <c r="L6" s="2322"/>
      <c r="M6" s="2323"/>
      <c r="N6" s="2323"/>
      <c r="O6" s="2323"/>
      <c r="P6" s="3688"/>
      <c r="Q6" s="3689"/>
      <c r="R6" s="3675"/>
      <c r="S6" s="3676"/>
      <c r="T6" s="3690"/>
      <c r="U6" s="3691"/>
      <c r="V6" s="3692"/>
      <c r="W6" s="3692"/>
      <c r="X6" s="1344"/>
      <c r="Y6" s="3690"/>
      <c r="Z6" s="3691"/>
      <c r="AA6" s="3670"/>
      <c r="AB6" s="3670"/>
      <c r="AC6" s="3670"/>
    </row>
    <row r="7" spans="1:29" s="40" customFormat="1" ht="15" thickBot="1">
      <c r="A7" s="1018" t="s">
        <v>1232</v>
      </c>
      <c r="B7" s="1019"/>
      <c r="C7" s="1020">
        <f>'数据-取费表'!B2</f>
        <v>42959</v>
      </c>
      <c r="D7" s="758">
        <v>100</v>
      </c>
      <c r="E7" s="1021">
        <f>C7</f>
        <v>42959</v>
      </c>
      <c r="F7" s="760">
        <f>SUMIF(58:58,YEAR(E7)&amp;"-"&amp;MONTH(E7),59:59)</f>
        <v>100</v>
      </c>
      <c r="G7" s="1022">
        <f>C7</f>
        <v>42959</v>
      </c>
      <c r="H7" s="758">
        <f>SUMIF(58:58,YEAR(G7)&amp;"-"&amp;MONTH(G7),59:59)</f>
        <v>100</v>
      </c>
      <c r="I7" s="1022">
        <f>C7</f>
        <v>42959</v>
      </c>
      <c r="J7" s="758">
        <f>SUMIF(58:58,YEAR(I7)&amp;"-"&amp;MONTH(I7),59:59)</f>
        <v>100</v>
      </c>
      <c r="K7" s="1345"/>
      <c r="L7" s="2324"/>
      <c r="M7" s="2286"/>
      <c r="N7" s="2286"/>
      <c r="O7" s="2286"/>
      <c r="P7" s="3671" t="s">
        <v>1232</v>
      </c>
      <c r="Q7" s="3693"/>
      <c r="R7" s="1346" t="s">
        <v>164</v>
      </c>
      <c r="S7" s="1347">
        <f t="shared" ref="S7:S15" si="0">F7</f>
        <v>100</v>
      </c>
      <c r="T7" s="1346" t="s">
        <v>164</v>
      </c>
      <c r="U7" s="1347">
        <f t="shared" ref="U7:U15" si="1">H7</f>
        <v>100</v>
      </c>
      <c r="V7" s="1346" t="s">
        <v>164</v>
      </c>
      <c r="W7" s="1347">
        <f t="shared" ref="W7:W15" si="2">J7</f>
        <v>100</v>
      </c>
      <c r="X7" s="293"/>
      <c r="Y7" s="3671" t="s">
        <v>1232</v>
      </c>
      <c r="Z7" s="3672"/>
      <c r="AA7" s="1348">
        <f>D7/F7</f>
        <v>1</v>
      </c>
      <c r="AB7" s="1348">
        <f>D7/H7</f>
        <v>1</v>
      </c>
      <c r="AC7" s="1348">
        <f>D7/J7</f>
        <v>1</v>
      </c>
    </row>
    <row r="8" spans="1:29" s="40" customFormat="1" ht="15" thickBot="1">
      <c r="A8" s="1018" t="s">
        <v>1233</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671" t="s">
        <v>1233</v>
      </c>
      <c r="Q8" s="3672"/>
      <c r="R8" s="1346" t="s">
        <v>164</v>
      </c>
      <c r="S8" s="1347">
        <f t="shared" si="0"/>
        <v>100</v>
      </c>
      <c r="T8" s="1346" t="s">
        <v>164</v>
      </c>
      <c r="U8" s="1347">
        <f t="shared" si="1"/>
        <v>100</v>
      </c>
      <c r="V8" s="1346" t="s">
        <v>164</v>
      </c>
      <c r="W8" s="1347">
        <f t="shared" si="2"/>
        <v>100</v>
      </c>
      <c r="X8" s="293"/>
      <c r="Y8" s="3671" t="s">
        <v>1233</v>
      </c>
      <c r="Z8" s="3672"/>
      <c r="AA8" s="1348">
        <f t="shared" ref="AA8:AA19" si="3">D8/F8</f>
        <v>1</v>
      </c>
      <c r="AB8" s="1348">
        <f t="shared" ref="AB8:AB19" si="4">D8/H8</f>
        <v>1</v>
      </c>
      <c r="AC8" s="1348">
        <f t="shared" ref="AC8:AC19" si="5">D8/J8</f>
        <v>1</v>
      </c>
    </row>
    <row r="9" spans="1:29" s="40" customFormat="1" ht="14.25">
      <c r="A9" s="1025" t="s">
        <v>1234</v>
      </c>
      <c r="B9" s="62" t="s">
        <v>1235</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679" t="s">
        <v>72</v>
      </c>
      <c r="Q9" s="7" t="str">
        <f t="shared" ref="Q9:Q15" si="6">B9</f>
        <v>用途</v>
      </c>
      <c r="R9" s="1346" t="s">
        <v>70</v>
      </c>
      <c r="S9" s="1347">
        <f t="shared" si="0"/>
        <v>100</v>
      </c>
      <c r="T9" s="1346" t="s">
        <v>70</v>
      </c>
      <c r="U9" s="1347">
        <f t="shared" si="1"/>
        <v>100</v>
      </c>
      <c r="V9" s="1346" t="s">
        <v>70</v>
      </c>
      <c r="W9" s="1347">
        <f t="shared" si="2"/>
        <v>100</v>
      </c>
      <c r="X9" s="293"/>
      <c r="Y9" s="3491"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5"/>
      <c r="M10" s="2326"/>
      <c r="N10" s="2326"/>
      <c r="O10" s="2326"/>
      <c r="P10" s="3679"/>
      <c r="Q10" s="7" t="str">
        <f t="shared" si="6"/>
        <v>土地使用年限（年）</v>
      </c>
      <c r="R10" s="1346" t="s">
        <v>70</v>
      </c>
      <c r="S10" s="1347">
        <f t="shared" si="0"/>
        <v>100</v>
      </c>
      <c r="T10" s="1346" t="s">
        <v>70</v>
      </c>
      <c r="U10" s="1347">
        <f t="shared" si="1"/>
        <v>100</v>
      </c>
      <c r="V10" s="1346" t="s">
        <v>70</v>
      </c>
      <c r="W10" s="1347">
        <f t="shared" si="2"/>
        <v>100</v>
      </c>
      <c r="X10" s="293"/>
      <c r="Y10" s="3491"/>
      <c r="Z10" s="294" t="str">
        <f t="shared" si="7"/>
        <v>土地使用年限（年）</v>
      </c>
      <c r="AA10" s="1348">
        <f t="shared" si="3"/>
        <v>1</v>
      </c>
      <c r="AB10" s="1348">
        <f t="shared" si="4"/>
        <v>1</v>
      </c>
      <c r="AC10" s="1348">
        <f t="shared" si="5"/>
        <v>1</v>
      </c>
    </row>
    <row r="11" spans="1:29" ht="15.75" thickBot="1">
      <c r="A11" s="151"/>
      <c r="B11" s="12"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679"/>
      <c r="Q11" s="7" t="str">
        <f t="shared" si="6"/>
        <v>容积率</v>
      </c>
      <c r="R11" s="1346" t="s">
        <v>120</v>
      </c>
      <c r="S11" s="1347">
        <f t="shared" si="0"/>
        <v>100</v>
      </c>
      <c r="T11" s="1346" t="s">
        <v>120</v>
      </c>
      <c r="U11" s="1347">
        <f t="shared" si="1"/>
        <v>102</v>
      </c>
      <c r="V11" s="1346" t="s">
        <v>120</v>
      </c>
      <c r="W11" s="1347">
        <f t="shared" si="2"/>
        <v>104</v>
      </c>
      <c r="X11" s="293"/>
      <c r="Y11" s="3491"/>
      <c r="Z11" s="294" t="str">
        <f t="shared" si="7"/>
        <v>容积率</v>
      </c>
      <c r="AA11" s="1348">
        <f t="shared" si="3"/>
        <v>1</v>
      </c>
      <c r="AB11" s="1348">
        <f t="shared" si="4"/>
        <v>0.98039215686274506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679"/>
      <c r="Q12" s="7">
        <f t="shared" si="6"/>
        <v>111</v>
      </c>
      <c r="R12" s="1346" t="s">
        <v>120</v>
      </c>
      <c r="S12" s="1347">
        <f t="shared" si="0"/>
        <v>100</v>
      </c>
      <c r="T12" s="1346" t="s">
        <v>120</v>
      </c>
      <c r="U12" s="1347">
        <f t="shared" si="1"/>
        <v>100</v>
      </c>
      <c r="V12" s="1346" t="s">
        <v>120</v>
      </c>
      <c r="W12" s="1347">
        <f t="shared" si="2"/>
        <v>100</v>
      </c>
      <c r="X12" s="293"/>
      <c r="Y12" s="3491"/>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679"/>
      <c r="Q13" s="7">
        <f t="shared" si="6"/>
        <v>111</v>
      </c>
      <c r="R13" s="1346" t="s">
        <v>120</v>
      </c>
      <c r="S13" s="1347">
        <f t="shared" si="0"/>
        <v>100</v>
      </c>
      <c r="T13" s="1346" t="s">
        <v>120</v>
      </c>
      <c r="U13" s="1347">
        <f t="shared" si="1"/>
        <v>100</v>
      </c>
      <c r="V13" s="1346" t="s">
        <v>120</v>
      </c>
      <c r="W13" s="1347">
        <f t="shared" si="2"/>
        <v>100</v>
      </c>
      <c r="X13" s="293"/>
      <c r="Y13" s="3491"/>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679"/>
      <c r="Q14" s="7">
        <f t="shared" si="6"/>
        <v>111</v>
      </c>
      <c r="R14" s="1346" t="s">
        <v>120</v>
      </c>
      <c r="S14" s="1347">
        <f t="shared" si="0"/>
        <v>100</v>
      </c>
      <c r="T14" s="1346" t="s">
        <v>120</v>
      </c>
      <c r="U14" s="1347">
        <f t="shared" si="1"/>
        <v>100</v>
      </c>
      <c r="V14" s="1346" t="s">
        <v>120</v>
      </c>
      <c r="W14" s="1347">
        <f t="shared" si="2"/>
        <v>100</v>
      </c>
      <c r="X14" s="293"/>
      <c r="Y14" s="3491"/>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8"/>
      <c r="M15" s="2323"/>
      <c r="N15" s="2323"/>
      <c r="O15" s="2323"/>
      <c r="P15" s="3706" t="s">
        <v>74</v>
      </c>
      <c r="Q15" s="1355" t="str">
        <f t="shared" si="6"/>
        <v>居住社区成熟度</v>
      </c>
      <c r="R15" s="1356" t="s">
        <v>120</v>
      </c>
      <c r="S15" s="1357">
        <f t="shared" si="0"/>
        <v>100</v>
      </c>
      <c r="T15" s="1356" t="s">
        <v>120</v>
      </c>
      <c r="U15" s="1357">
        <f t="shared" si="1"/>
        <v>100</v>
      </c>
      <c r="V15" s="1356" t="s">
        <v>120</v>
      </c>
      <c r="W15" s="1357">
        <f t="shared" si="2"/>
        <v>97</v>
      </c>
      <c r="X15" s="1344"/>
      <c r="Y15" s="3699"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8"/>
      <c r="M16" s="2323"/>
      <c r="N16" s="2323"/>
      <c r="O16" s="2323"/>
      <c r="P16" s="3707"/>
      <c r="Q16" s="1355"/>
      <c r="R16" s="1356"/>
      <c r="S16" s="1357"/>
      <c r="T16" s="1356"/>
      <c r="U16" s="1357"/>
      <c r="V16" s="1356"/>
      <c r="W16" s="1357"/>
      <c r="X16" s="1344"/>
      <c r="Y16" s="3700"/>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8"/>
      <c r="M17" s="2323"/>
      <c r="N17" s="2323"/>
      <c r="O17" s="2323"/>
      <c r="P17" s="3707"/>
      <c r="Q17" s="1355" t="str">
        <f>B17</f>
        <v>交通便捷度</v>
      </c>
      <c r="R17" s="1356" t="s">
        <v>120</v>
      </c>
      <c r="S17" s="1357">
        <f>F17</f>
        <v>100</v>
      </c>
      <c r="T17" s="1356" t="s">
        <v>120</v>
      </c>
      <c r="U17" s="1357">
        <f>H17</f>
        <v>100</v>
      </c>
      <c r="V17" s="1356" t="s">
        <v>120</v>
      </c>
      <c r="W17" s="1357">
        <f>J17</f>
        <v>100</v>
      </c>
      <c r="X17" s="1344"/>
      <c r="Y17" s="3700"/>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8"/>
      <c r="M18" s="2323"/>
      <c r="N18" s="2323"/>
      <c r="O18" s="2323"/>
      <c r="P18" s="3707"/>
      <c r="Q18" s="1355"/>
      <c r="R18" s="1356"/>
      <c r="S18" s="1357"/>
      <c r="T18" s="1356"/>
      <c r="U18" s="1357"/>
      <c r="V18" s="1356"/>
      <c r="W18" s="1357"/>
      <c r="X18" s="1344"/>
      <c r="Y18" s="3700"/>
      <c r="Z18" s="1358"/>
      <c r="AA18" s="1359">
        <v>1</v>
      </c>
      <c r="AB18" s="1359">
        <v>1</v>
      </c>
      <c r="AC18" s="1359">
        <v>1</v>
      </c>
    </row>
    <row r="19" spans="1:29" ht="40.5">
      <c r="A19" s="151"/>
      <c r="B19" s="1360" t="s">
        <v>3033</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95</v>
      </c>
      <c r="K19" s="793">
        <v>5</v>
      </c>
      <c r="L19" s="2328"/>
      <c r="M19" s="2323"/>
      <c r="N19" s="2323"/>
      <c r="O19" s="2323"/>
      <c r="P19" s="3707"/>
      <c r="Q19" s="1355" t="str">
        <f>B19</f>
        <v>公共配套设施</v>
      </c>
      <c r="R19" s="1356" t="s">
        <v>120</v>
      </c>
      <c r="S19" s="1357">
        <f>F19</f>
        <v>100</v>
      </c>
      <c r="T19" s="1356" t="s">
        <v>120</v>
      </c>
      <c r="U19" s="1357">
        <f>H19</f>
        <v>100</v>
      </c>
      <c r="V19" s="1356" t="s">
        <v>120</v>
      </c>
      <c r="W19" s="1357">
        <f>J19</f>
        <v>95</v>
      </c>
      <c r="X19" s="1344"/>
      <c r="Y19" s="3700"/>
      <c r="Z19" s="1358" t="str">
        <f>Q19</f>
        <v>公共配套设施</v>
      </c>
      <c r="AA19" s="1359">
        <f t="shared" si="3"/>
        <v>1</v>
      </c>
      <c r="AB19" s="1359">
        <f t="shared" si="4"/>
        <v>1</v>
      </c>
      <c r="AC19" s="1359">
        <f t="shared" si="5"/>
        <v>1.0526315789473684</v>
      </c>
    </row>
    <row r="20" spans="1:29" ht="14.25">
      <c r="A20" s="151"/>
      <c r="B20" s="1045"/>
      <c r="C20" s="97" t="s">
        <v>123</v>
      </c>
      <c r="D20" s="796"/>
      <c r="E20" s="99" t="s">
        <v>123</v>
      </c>
      <c r="F20" s="796"/>
      <c r="G20" s="98" t="s">
        <v>123</v>
      </c>
      <c r="H20" s="796"/>
      <c r="I20" s="98" t="s">
        <v>124</v>
      </c>
      <c r="J20" s="796"/>
      <c r="K20" s="159"/>
      <c r="L20" s="2328"/>
      <c r="M20" s="2323"/>
      <c r="N20" s="2323"/>
      <c r="O20" s="2323"/>
      <c r="P20" s="3707"/>
      <c r="Q20" s="1355"/>
      <c r="R20" s="1356"/>
      <c r="S20" s="1357"/>
      <c r="T20" s="1356"/>
      <c r="U20" s="1357"/>
      <c r="V20" s="1356"/>
      <c r="W20" s="1357"/>
      <c r="X20" s="1344"/>
      <c r="Y20" s="3700"/>
      <c r="Z20" s="1358"/>
      <c r="AA20" s="1359">
        <v>1</v>
      </c>
      <c r="AB20" s="1359">
        <v>1</v>
      </c>
      <c r="AC20" s="1359">
        <v>1</v>
      </c>
    </row>
    <row r="21" spans="1:29" ht="27">
      <c r="A21" s="151"/>
      <c r="B21" s="1416" t="s">
        <v>3044</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07"/>
      <c r="Q21" s="2782" t="str">
        <f>B21</f>
        <v>基础设施水平</v>
      </c>
      <c r="R21" s="1356" t="s">
        <v>70</v>
      </c>
      <c r="S21" s="1357">
        <f>F21</f>
        <v>100</v>
      </c>
      <c r="T21" s="1356" t="s">
        <v>70</v>
      </c>
      <c r="U21" s="1357">
        <f>H21</f>
        <v>100</v>
      </c>
      <c r="V21" s="1356" t="s">
        <v>70</v>
      </c>
      <c r="W21" s="1357">
        <f>J21</f>
        <v>100</v>
      </c>
      <c r="X21" s="2784"/>
      <c r="Y21" s="3700"/>
      <c r="Z21" s="2783"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07"/>
      <c r="Q22" s="2782"/>
      <c r="R22" s="1356"/>
      <c r="S22" s="1357"/>
      <c r="T22" s="1356"/>
      <c r="U22" s="1357"/>
      <c r="V22" s="1356"/>
      <c r="W22" s="1357"/>
      <c r="X22" s="2784"/>
      <c r="Y22" s="3700"/>
      <c r="Z22" s="2783"/>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8"/>
      <c r="M23" s="2323"/>
      <c r="N23" s="2323"/>
      <c r="O23" s="2323"/>
      <c r="P23" s="3707"/>
      <c r="Q23" s="1355" t="str">
        <f>B23</f>
        <v>自然及人文环境</v>
      </c>
      <c r="R23" s="1356" t="s">
        <v>120</v>
      </c>
      <c r="S23" s="1357">
        <f>F23</f>
        <v>98</v>
      </c>
      <c r="T23" s="1356" t="s">
        <v>120</v>
      </c>
      <c r="U23" s="1357">
        <f>H23</f>
        <v>98</v>
      </c>
      <c r="V23" s="1356" t="s">
        <v>120</v>
      </c>
      <c r="W23" s="1357">
        <f>J23</f>
        <v>98</v>
      </c>
      <c r="X23" s="1344"/>
      <c r="Y23" s="3700"/>
      <c r="Z23" s="1358" t="str">
        <f>Q23</f>
        <v>自然及人文环境</v>
      </c>
      <c r="AA23" s="1359">
        <f>D23/F23</f>
        <v>1.0204081632653061</v>
      </c>
      <c r="AB23" s="1359">
        <f>D23/H23</f>
        <v>1.0204081632653061</v>
      </c>
      <c r="AC23" s="1359">
        <f>D23/J23</f>
        <v>1.0204081632653061</v>
      </c>
    </row>
    <row r="24" spans="1:29" ht="14.25">
      <c r="A24" s="151"/>
      <c r="B24" s="1045"/>
      <c r="C24" s="97" t="s">
        <v>123</v>
      </c>
      <c r="D24" s="796"/>
      <c r="E24" s="99" t="s">
        <v>124</v>
      </c>
      <c r="F24" s="796"/>
      <c r="G24" s="98" t="s">
        <v>124</v>
      </c>
      <c r="H24" s="796"/>
      <c r="I24" s="98" t="s">
        <v>124</v>
      </c>
      <c r="J24" s="796"/>
      <c r="K24" s="159"/>
      <c r="L24" s="2328"/>
      <c r="M24" s="2323"/>
      <c r="N24" s="2323"/>
      <c r="O24" s="2323"/>
      <c r="P24" s="3707"/>
      <c r="Q24" s="1355"/>
      <c r="R24" s="1356"/>
      <c r="S24" s="1357"/>
      <c r="T24" s="1356"/>
      <c r="U24" s="1357"/>
      <c r="V24" s="1356"/>
      <c r="W24" s="1357"/>
      <c r="X24" s="1344"/>
      <c r="Y24" s="3700"/>
      <c r="Z24" s="1358"/>
      <c r="AA24" s="1359">
        <v>1</v>
      </c>
      <c r="AB24" s="1359">
        <v>1</v>
      </c>
      <c r="AC24" s="1359">
        <v>1</v>
      </c>
    </row>
    <row r="25" spans="1:29" ht="15" hidden="1">
      <c r="A25" s="151"/>
      <c r="B25" s="12" t="s">
        <v>2662</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07"/>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00"/>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3461</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07"/>
      <c r="Q26" s="1355" t="str">
        <f t="shared" si="11"/>
        <v>朝向</v>
      </c>
      <c r="R26" s="1356" t="s">
        <v>120</v>
      </c>
      <c r="S26" s="1357">
        <f t="shared" si="12"/>
        <v>100</v>
      </c>
      <c r="T26" s="1356" t="s">
        <v>120</v>
      </c>
      <c r="U26" s="1357">
        <f t="shared" si="13"/>
        <v>100</v>
      </c>
      <c r="V26" s="1356" t="s">
        <v>120</v>
      </c>
      <c r="W26" s="1357">
        <f t="shared" si="14"/>
        <v>100</v>
      </c>
      <c r="X26" s="1344"/>
      <c r="Y26" s="3700"/>
      <c r="Z26" s="1358" t="str">
        <f>Q26</f>
        <v>朝向</v>
      </c>
      <c r="AA26" s="1359">
        <f t="shared" si="15"/>
        <v>1</v>
      </c>
      <c r="AB26" s="1359">
        <f t="shared" si="16"/>
        <v>1</v>
      </c>
      <c r="AC26" s="1359">
        <f t="shared" si="17"/>
        <v>1</v>
      </c>
    </row>
    <row r="27" spans="1:29" s="40" customFormat="1" ht="15" thickBot="1">
      <c r="A27" s="1034"/>
      <c r="B27" s="1035" t="s">
        <v>1236</v>
      </c>
      <c r="C27" s="1028" t="s">
        <v>1237</v>
      </c>
      <c r="D27" s="810">
        <v>100</v>
      </c>
      <c r="E27" s="1030" t="s">
        <v>1237</v>
      </c>
      <c r="F27" s="810">
        <f>SUMIF(90:90,E27,91:91)-SUMIF(90:90,C27,91:91)+100</f>
        <v>100</v>
      </c>
      <c r="G27" s="1028" t="s">
        <v>319</v>
      </c>
      <c r="H27" s="810">
        <f>SUMIF(90:90,G27,91:91)-SUMIF(90:90,C27,91:91)+100</f>
        <v>98</v>
      </c>
      <c r="I27" s="1028" t="s">
        <v>1237</v>
      </c>
      <c r="J27" s="810">
        <f>SUMIF(90:90,I27,91:91)-SUMIF(90:90,C27,91:91)+100</f>
        <v>100</v>
      </c>
      <c r="K27" s="153"/>
      <c r="L27" s="2324"/>
      <c r="M27" s="2286"/>
      <c r="N27" s="2286"/>
      <c r="O27" s="2286"/>
      <c r="P27" s="3707"/>
      <c r="Q27" s="7" t="str">
        <f t="shared" si="11"/>
        <v>道路级别</v>
      </c>
      <c r="R27" s="1346" t="s">
        <v>120</v>
      </c>
      <c r="S27" s="1347">
        <f t="shared" si="12"/>
        <v>100</v>
      </c>
      <c r="T27" s="1346" t="s">
        <v>120</v>
      </c>
      <c r="U27" s="1347">
        <f t="shared" si="13"/>
        <v>98</v>
      </c>
      <c r="V27" s="1346" t="s">
        <v>120</v>
      </c>
      <c r="W27" s="1347">
        <f t="shared" si="14"/>
        <v>100</v>
      </c>
      <c r="X27" s="293"/>
      <c r="Y27" s="3700"/>
      <c r="Z27" s="294" t="str">
        <f>Q27</f>
        <v>道路级别</v>
      </c>
      <c r="AA27" s="1359">
        <f t="shared" si="15"/>
        <v>1</v>
      </c>
      <c r="AB27" s="1359">
        <f t="shared" si="16"/>
        <v>1.0204081632653061</v>
      </c>
      <c r="AC27" s="1359">
        <f t="shared" si="17"/>
        <v>1</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07"/>
      <c r="Q28" s="1355">
        <f t="shared" si="11"/>
        <v>111</v>
      </c>
      <c r="R28" s="1356" t="s">
        <v>120</v>
      </c>
      <c r="S28" s="1357">
        <f t="shared" si="12"/>
        <v>100</v>
      </c>
      <c r="T28" s="1356" t="s">
        <v>120</v>
      </c>
      <c r="U28" s="1357">
        <f t="shared" si="13"/>
        <v>100</v>
      </c>
      <c r="V28" s="1356" t="s">
        <v>120</v>
      </c>
      <c r="W28" s="1357">
        <f t="shared" si="14"/>
        <v>100</v>
      </c>
      <c r="X28" s="1344"/>
      <c r="Y28" s="3700"/>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07"/>
      <c r="Q29" s="1355">
        <f t="shared" si="11"/>
        <v>111</v>
      </c>
      <c r="R29" s="1356" t="s">
        <v>120</v>
      </c>
      <c r="S29" s="1357">
        <f t="shared" si="12"/>
        <v>100</v>
      </c>
      <c r="T29" s="1356" t="s">
        <v>120</v>
      </c>
      <c r="U29" s="1357">
        <f t="shared" si="13"/>
        <v>100</v>
      </c>
      <c r="V29" s="1356" t="s">
        <v>120</v>
      </c>
      <c r="W29" s="1357">
        <f t="shared" si="14"/>
        <v>100</v>
      </c>
      <c r="X29" s="1344"/>
      <c r="Y29" s="3700"/>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07"/>
      <c r="Q30" s="1355">
        <f t="shared" si="11"/>
        <v>111</v>
      </c>
      <c r="R30" s="1356" t="s">
        <v>120</v>
      </c>
      <c r="S30" s="1357">
        <f t="shared" si="12"/>
        <v>100</v>
      </c>
      <c r="T30" s="1356" t="s">
        <v>120</v>
      </c>
      <c r="U30" s="1357">
        <f t="shared" si="13"/>
        <v>100</v>
      </c>
      <c r="V30" s="1356" t="s">
        <v>120</v>
      </c>
      <c r="W30" s="1357">
        <f t="shared" si="14"/>
        <v>100</v>
      </c>
      <c r="X30" s="1344"/>
      <c r="Y30" s="3700"/>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07"/>
      <c r="Q31" s="1355">
        <f t="shared" si="11"/>
        <v>111</v>
      </c>
      <c r="R31" s="1356" t="s">
        <v>120</v>
      </c>
      <c r="S31" s="1357">
        <f t="shared" si="12"/>
        <v>100</v>
      </c>
      <c r="T31" s="1356" t="s">
        <v>120</v>
      </c>
      <c r="U31" s="1357">
        <f t="shared" si="13"/>
        <v>100</v>
      </c>
      <c r="V31" s="1356" t="s">
        <v>120</v>
      </c>
      <c r="W31" s="1357">
        <f t="shared" si="14"/>
        <v>100</v>
      </c>
      <c r="X31" s="1344"/>
      <c r="Y31" s="3700"/>
      <c r="Z31" s="1358">
        <f t="shared" si="18"/>
        <v>111</v>
      </c>
      <c r="AA31" s="1359">
        <f t="shared" si="15"/>
        <v>1</v>
      </c>
      <c r="AB31" s="1359">
        <f t="shared" si="16"/>
        <v>1</v>
      </c>
      <c r="AC31" s="1359">
        <f t="shared" si="17"/>
        <v>1</v>
      </c>
    </row>
    <row r="32" spans="1:29" ht="15">
      <c r="A32" s="155" t="s">
        <v>1238</v>
      </c>
      <c r="B32" s="62" t="s">
        <v>80</v>
      </c>
      <c r="C32" s="110" t="s">
        <v>3463</v>
      </c>
      <c r="D32" s="814">
        <v>100</v>
      </c>
      <c r="E32" s="111" t="s">
        <v>3463</v>
      </c>
      <c r="F32" s="809">
        <f>SUMIF(100:100,E32,101:101)-SUMIF(100:100,C32,101:101)+100</f>
        <v>100</v>
      </c>
      <c r="G32" s="110" t="s">
        <v>3463</v>
      </c>
      <c r="H32" s="814">
        <f>SUMIF(100:100,G32,101:101)-SUMIF(100:100,C32,101:101)+100</f>
        <v>100</v>
      </c>
      <c r="I32" s="111" t="s">
        <v>3463</v>
      </c>
      <c r="J32" s="783">
        <f>SUMIF(100:100,I32,101:101)-SUMIF(100:100,C32,101:101)+100</f>
        <v>100</v>
      </c>
      <c r="K32" s="774">
        <v>15</v>
      </c>
      <c r="L32" s="2328"/>
      <c r="M32" s="2323"/>
      <c r="N32" s="2323"/>
      <c r="O32" s="2323"/>
      <c r="P32" s="3701" t="s">
        <v>75</v>
      </c>
      <c r="Q32" s="1355" t="str">
        <f t="shared" si="11"/>
        <v>建筑类型</v>
      </c>
      <c r="R32" s="1356" t="s">
        <v>120</v>
      </c>
      <c r="S32" s="1357">
        <f t="shared" si="12"/>
        <v>100</v>
      </c>
      <c r="T32" s="1356" t="s">
        <v>120</v>
      </c>
      <c r="U32" s="1357">
        <f t="shared" si="13"/>
        <v>100</v>
      </c>
      <c r="V32" s="1356" t="s">
        <v>120</v>
      </c>
      <c r="W32" s="1357">
        <f t="shared" si="14"/>
        <v>100</v>
      </c>
      <c r="X32" s="1344"/>
      <c r="Y32" s="3704"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02"/>
      <c r="Q33" s="1363" t="str">
        <f t="shared" si="11"/>
        <v>项目建筑规模</v>
      </c>
      <c r="R33" s="1364" t="s">
        <v>120</v>
      </c>
      <c r="S33" s="1365">
        <f t="shared" si="12"/>
        <v>100</v>
      </c>
      <c r="T33" s="1364" t="s">
        <v>120</v>
      </c>
      <c r="U33" s="1365">
        <f t="shared" si="13"/>
        <v>98</v>
      </c>
      <c r="V33" s="1364" t="s">
        <v>120</v>
      </c>
      <c r="W33" s="1365">
        <f t="shared" si="14"/>
        <v>100</v>
      </c>
      <c r="X33" s="1366"/>
      <c r="Y33" s="3704"/>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02"/>
      <c r="Q34" s="1355" t="str">
        <f t="shared" si="11"/>
        <v>建筑结构</v>
      </c>
      <c r="R34" s="1356" t="s">
        <v>120</v>
      </c>
      <c r="S34" s="1357">
        <f t="shared" si="12"/>
        <v>100</v>
      </c>
      <c r="T34" s="1356" t="s">
        <v>120</v>
      </c>
      <c r="U34" s="1357">
        <f t="shared" si="13"/>
        <v>100</v>
      </c>
      <c r="V34" s="1356" t="s">
        <v>120</v>
      </c>
      <c r="W34" s="1357">
        <f t="shared" si="14"/>
        <v>100</v>
      </c>
      <c r="X34" s="1344"/>
      <c r="Y34" s="3704"/>
      <c r="Z34" s="1358" t="str">
        <f t="shared" si="18"/>
        <v>建筑结构</v>
      </c>
      <c r="AA34" s="1359">
        <f t="shared" si="15"/>
        <v>1</v>
      </c>
      <c r="AB34" s="1359">
        <f t="shared" si="16"/>
        <v>1</v>
      </c>
      <c r="AC34" s="1359">
        <f t="shared" si="17"/>
        <v>1</v>
      </c>
    </row>
    <row r="35" spans="1:29" ht="15">
      <c r="A35" s="161"/>
      <c r="B35" s="12" t="s">
        <v>83</v>
      </c>
      <c r="C35" s="109" t="s">
        <v>2794</v>
      </c>
      <c r="D35" s="783">
        <v>100</v>
      </c>
      <c r="E35" s="108" t="s">
        <v>2794</v>
      </c>
      <c r="F35" s="809">
        <f>SUMIF(107:107,E35,108:108)-SUMIF(107:107,C35,108:108)+100</f>
        <v>100</v>
      </c>
      <c r="G35" s="109" t="s">
        <v>2794</v>
      </c>
      <c r="H35" s="783">
        <f>SUMIF(107:107,G35,108:108)-SUMIF(107:107,C35,108:108)+100</f>
        <v>100</v>
      </c>
      <c r="I35" s="108" t="s">
        <v>2794</v>
      </c>
      <c r="J35" s="783">
        <f>SUMIF(107:107,I35,108:108)-SUMIF(107:107,C35,108:108)+100</f>
        <v>100</v>
      </c>
      <c r="K35" s="774">
        <v>5</v>
      </c>
      <c r="L35" s="2328"/>
      <c r="M35" s="2323"/>
      <c r="N35" s="2323"/>
      <c r="O35" s="2323"/>
      <c r="P35" s="3702"/>
      <c r="Q35" s="1355" t="str">
        <f t="shared" si="11"/>
        <v>建筑品质</v>
      </c>
      <c r="R35" s="1356" t="s">
        <v>120</v>
      </c>
      <c r="S35" s="1357">
        <f t="shared" si="12"/>
        <v>100</v>
      </c>
      <c r="T35" s="1356" t="s">
        <v>120</v>
      </c>
      <c r="U35" s="1357">
        <f t="shared" si="13"/>
        <v>100</v>
      </c>
      <c r="V35" s="1356" t="s">
        <v>120</v>
      </c>
      <c r="W35" s="1357">
        <f t="shared" si="14"/>
        <v>100</v>
      </c>
      <c r="X35" s="1344"/>
      <c r="Y35" s="3704"/>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02"/>
      <c r="Q36" s="1355" t="str">
        <f t="shared" si="11"/>
        <v>公共部分装修</v>
      </c>
      <c r="R36" s="1356" t="s">
        <v>120</v>
      </c>
      <c r="S36" s="1357">
        <f t="shared" si="12"/>
        <v>100</v>
      </c>
      <c r="T36" s="1356" t="s">
        <v>120</v>
      </c>
      <c r="U36" s="1357">
        <f t="shared" si="13"/>
        <v>100</v>
      </c>
      <c r="V36" s="1356" t="s">
        <v>120</v>
      </c>
      <c r="W36" s="1357">
        <f t="shared" si="14"/>
        <v>100</v>
      </c>
      <c r="X36" s="1344"/>
      <c r="Y36" s="3704"/>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02"/>
      <c r="Q37" s="7" t="str">
        <f t="shared" si="11"/>
        <v>成新度</v>
      </c>
      <c r="R37" s="1346" t="s">
        <v>120</v>
      </c>
      <c r="S37" s="1347">
        <f t="shared" si="12"/>
        <v>100</v>
      </c>
      <c r="T37" s="1346" t="s">
        <v>120</v>
      </c>
      <c r="U37" s="1347">
        <f t="shared" si="13"/>
        <v>100</v>
      </c>
      <c r="V37" s="1346" t="s">
        <v>120</v>
      </c>
      <c r="W37" s="1347">
        <f t="shared" si="14"/>
        <v>100</v>
      </c>
      <c r="X37" s="293"/>
      <c r="Y37" s="3704"/>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02" t="s">
        <v>75</v>
      </c>
      <c r="Q38" s="1355" t="str">
        <f t="shared" si="11"/>
        <v>物业管理</v>
      </c>
      <c r="R38" s="1356" t="s">
        <v>120</v>
      </c>
      <c r="S38" s="1357">
        <f t="shared" si="12"/>
        <v>100</v>
      </c>
      <c r="T38" s="1356" t="s">
        <v>120</v>
      </c>
      <c r="U38" s="1357">
        <f t="shared" si="13"/>
        <v>100</v>
      </c>
      <c r="V38" s="1356" t="s">
        <v>120</v>
      </c>
      <c r="W38" s="1357">
        <f t="shared" si="14"/>
        <v>100</v>
      </c>
      <c r="X38" s="1344"/>
      <c r="Y38" s="3704" t="s">
        <v>75</v>
      </c>
      <c r="Z38" s="1358" t="str">
        <f t="shared" si="18"/>
        <v>物业管理</v>
      </c>
      <c r="AA38" s="1359">
        <f t="shared" si="15"/>
        <v>1</v>
      </c>
      <c r="AB38" s="1359">
        <f t="shared" si="16"/>
        <v>1</v>
      </c>
      <c r="AC38" s="1359">
        <f t="shared" si="17"/>
        <v>1</v>
      </c>
    </row>
    <row r="39" spans="1:29" ht="15">
      <c r="A39" s="161"/>
      <c r="B39" s="12" t="s">
        <v>3045</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02"/>
      <c r="Q39" s="1355" t="str">
        <f t="shared" si="11"/>
        <v>市政基础设施</v>
      </c>
      <c r="R39" s="1356" t="s">
        <v>120</v>
      </c>
      <c r="S39" s="1357">
        <f t="shared" si="12"/>
        <v>100</v>
      </c>
      <c r="T39" s="1356" t="s">
        <v>120</v>
      </c>
      <c r="U39" s="1357">
        <f t="shared" si="13"/>
        <v>100</v>
      </c>
      <c r="V39" s="1356" t="s">
        <v>120</v>
      </c>
      <c r="W39" s="1357">
        <f t="shared" si="14"/>
        <v>100</v>
      </c>
      <c r="X39" s="1344"/>
      <c r="Y39" s="3704"/>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02"/>
      <c r="Q40" s="1355" t="str">
        <f t="shared" si="11"/>
        <v>房型</v>
      </c>
      <c r="R40" s="1356" t="s">
        <v>120</v>
      </c>
      <c r="S40" s="1357">
        <f t="shared" si="12"/>
        <v>100</v>
      </c>
      <c r="T40" s="1356" t="s">
        <v>120</v>
      </c>
      <c r="U40" s="1357">
        <f t="shared" si="13"/>
        <v>100</v>
      </c>
      <c r="V40" s="1356" t="s">
        <v>120</v>
      </c>
      <c r="W40" s="1357">
        <f t="shared" si="14"/>
        <v>100</v>
      </c>
      <c r="X40" s="1344"/>
      <c r="Y40" s="3704"/>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02"/>
      <c r="Q41" s="1363" t="str">
        <f t="shared" si="11"/>
        <v>单套/主力户型建筑面积</v>
      </c>
      <c r="R41" s="1364" t="s">
        <v>120</v>
      </c>
      <c r="S41" s="1365">
        <f t="shared" si="12"/>
        <v>100</v>
      </c>
      <c r="T41" s="1364" t="s">
        <v>120</v>
      </c>
      <c r="U41" s="1365">
        <f t="shared" si="13"/>
        <v>100</v>
      </c>
      <c r="V41" s="1364" t="s">
        <v>120</v>
      </c>
      <c r="W41" s="1365">
        <f t="shared" si="14"/>
        <v>100</v>
      </c>
      <c r="X41" s="1366"/>
      <c r="Y41" s="3704"/>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02"/>
      <c r="Q42" s="1355" t="str">
        <f t="shared" si="11"/>
        <v>内部装修</v>
      </c>
      <c r="R42" s="1356" t="s">
        <v>120</v>
      </c>
      <c r="S42" s="1357">
        <f t="shared" si="12"/>
        <v>100</v>
      </c>
      <c r="T42" s="1356" t="s">
        <v>120</v>
      </c>
      <c r="U42" s="1357">
        <f t="shared" si="13"/>
        <v>100</v>
      </c>
      <c r="V42" s="1356" t="s">
        <v>120</v>
      </c>
      <c r="W42" s="1357">
        <f t="shared" si="14"/>
        <v>100</v>
      </c>
      <c r="X42" s="1344"/>
      <c r="Y42" s="3704"/>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02"/>
      <c r="Q43" s="1355" t="str">
        <f t="shared" si="11"/>
        <v>内部装修维护情况</v>
      </c>
      <c r="R43" s="1356" t="s">
        <v>120</v>
      </c>
      <c r="S43" s="1357">
        <f t="shared" si="12"/>
        <v>100</v>
      </c>
      <c r="T43" s="1356" t="s">
        <v>120</v>
      </c>
      <c r="U43" s="1357">
        <f t="shared" si="13"/>
        <v>100</v>
      </c>
      <c r="V43" s="1356" t="s">
        <v>120</v>
      </c>
      <c r="W43" s="1357">
        <f t="shared" si="14"/>
        <v>100</v>
      </c>
      <c r="X43" s="1344"/>
      <c r="Y43" s="3704"/>
      <c r="Z43" s="1358" t="str">
        <f t="shared" si="18"/>
        <v>内部装修维护情况</v>
      </c>
      <c r="AA43" s="1359">
        <f t="shared" si="15"/>
        <v>1</v>
      </c>
      <c r="AB43" s="1359">
        <f t="shared" si="16"/>
        <v>1</v>
      </c>
      <c r="AC43" s="1359">
        <f t="shared" si="17"/>
        <v>1</v>
      </c>
    </row>
    <row r="44" spans="1:29" s="40" customFormat="1" ht="14.25" hidden="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02"/>
      <c r="Q44" s="7">
        <f t="shared" si="11"/>
        <v>111</v>
      </c>
      <c r="R44" s="1346" t="s">
        <v>120</v>
      </c>
      <c r="S44" s="1347">
        <f t="shared" si="12"/>
        <v>100</v>
      </c>
      <c r="T44" s="1346" t="s">
        <v>120</v>
      </c>
      <c r="U44" s="1347">
        <f t="shared" si="13"/>
        <v>100</v>
      </c>
      <c r="V44" s="1346" t="s">
        <v>120</v>
      </c>
      <c r="W44" s="1347">
        <f t="shared" si="14"/>
        <v>100</v>
      </c>
      <c r="X44" s="293"/>
      <c r="Y44" s="3704"/>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02"/>
      <c r="Q45" s="1355">
        <f t="shared" si="11"/>
        <v>111</v>
      </c>
      <c r="R45" s="1356" t="s">
        <v>120</v>
      </c>
      <c r="S45" s="1357">
        <f t="shared" si="12"/>
        <v>100</v>
      </c>
      <c r="T45" s="1356" t="s">
        <v>120</v>
      </c>
      <c r="U45" s="1357">
        <f t="shared" si="13"/>
        <v>100</v>
      </c>
      <c r="V45" s="1356" t="s">
        <v>120</v>
      </c>
      <c r="W45" s="1357">
        <f t="shared" si="14"/>
        <v>100</v>
      </c>
      <c r="X45" s="1344"/>
      <c r="Y45" s="3704"/>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03"/>
      <c r="Q46" s="1355">
        <f t="shared" si="11"/>
        <v>111</v>
      </c>
      <c r="R46" s="1356" t="s">
        <v>119</v>
      </c>
      <c r="S46" s="1357">
        <f t="shared" si="12"/>
        <v>100</v>
      </c>
      <c r="T46" s="1356" t="s">
        <v>119</v>
      </c>
      <c r="U46" s="1357">
        <f t="shared" si="13"/>
        <v>100</v>
      </c>
      <c r="V46" s="1356" t="s">
        <v>119</v>
      </c>
      <c r="W46" s="1357">
        <f t="shared" si="14"/>
        <v>100</v>
      </c>
      <c r="X46" s="1344"/>
      <c r="Y46" s="3705"/>
      <c r="Z46" s="1358">
        <f t="shared" si="18"/>
        <v>111</v>
      </c>
      <c r="AA46" s="1359">
        <f t="shared" si="15"/>
        <v>1</v>
      </c>
      <c r="AB46" s="1359">
        <f t="shared" si="16"/>
        <v>1</v>
      </c>
      <c r="AC46" s="1359">
        <f t="shared" si="17"/>
        <v>1</v>
      </c>
    </row>
    <row r="47" spans="1:29" ht="15">
      <c r="A47" s="163" t="s">
        <v>118</v>
      </c>
      <c r="B47" s="164"/>
      <c r="C47" s="2872" t="s">
        <v>117</v>
      </c>
      <c r="D47" s="2873"/>
      <c r="E47" s="2874">
        <f>19000*0.98</f>
        <v>18620</v>
      </c>
      <c r="F47" s="2875"/>
      <c r="G47" s="2876">
        <f>19000*0.98</f>
        <v>18620</v>
      </c>
      <c r="H47" s="2877"/>
      <c r="I47" s="2874">
        <f>18500*0.98</f>
        <v>18130</v>
      </c>
      <c r="J47" s="2877"/>
      <c r="K47" s="1368"/>
      <c r="L47" s="2330"/>
      <c r="M47" s="2331"/>
      <c r="N47" s="2323"/>
      <c r="O47" s="2331"/>
      <c r="P47" s="3697" t="str">
        <f>A47</f>
        <v>成交单价（元/平方米）</v>
      </c>
      <c r="Q47" s="3697"/>
      <c r="R47" s="3698">
        <f>E47</f>
        <v>18620</v>
      </c>
      <c r="S47" s="3698"/>
      <c r="T47" s="3698">
        <f>G47</f>
        <v>18620</v>
      </c>
      <c r="U47" s="3698"/>
      <c r="V47" s="3698">
        <f>I47</f>
        <v>18130</v>
      </c>
      <c r="W47" s="3698"/>
      <c r="X47" s="1369"/>
      <c r="Y47" s="1370"/>
      <c r="Z47" s="1369"/>
      <c r="AA47" s="1369"/>
      <c r="AB47" s="1369"/>
      <c r="AC47" s="1369"/>
    </row>
    <row r="48" spans="1:29" ht="15.75" thickBot="1">
      <c r="A48" s="165" t="s">
        <v>116</v>
      </c>
      <c r="B48" s="166"/>
      <c r="C48" s="2878">
        <f>R49</f>
        <v>19233</v>
      </c>
      <c r="D48" s="2879"/>
      <c r="E48" s="2880">
        <f>R48</f>
        <v>19000</v>
      </c>
      <c r="F48" s="2880"/>
      <c r="G48" s="2878">
        <f>T48</f>
        <v>19396</v>
      </c>
      <c r="H48" s="2879"/>
      <c r="I48" s="2880">
        <f>V48</f>
        <v>19304</v>
      </c>
      <c r="J48" s="2879"/>
      <c r="K48" s="1371"/>
      <c r="L48" s="2330"/>
      <c r="M48" s="2331"/>
      <c r="N48" s="2331"/>
      <c r="O48" s="2331"/>
      <c r="P48" s="3697" t="str">
        <f>A48</f>
        <v>比较价值（元/平方米）</v>
      </c>
      <c r="Q48" s="3697"/>
      <c r="R48" s="3698">
        <f>IF(F1="售价",ROUND(PRODUCT(R47,AA7:AA46),0),ROUND(PRODUCT(R47,AA7:AA46),1))</f>
        <v>19000</v>
      </c>
      <c r="S48" s="3698"/>
      <c r="T48" s="3698">
        <f>IF(F1="售价",ROUND(PRODUCT(T47,AB7:AB46),0),ROUND(PRODUCT(T47,AB7:AB46),1))</f>
        <v>19396</v>
      </c>
      <c r="U48" s="3698"/>
      <c r="V48" s="3698">
        <f>IF(F1="售价",ROUND(PRODUCT(V47,AC7:AC46),0),ROUND(PRODUCT(V47,AC7:AC46),1))</f>
        <v>19304</v>
      </c>
      <c r="W48" s="3698"/>
      <c r="X48" s="1369"/>
      <c r="Y48" s="1369"/>
      <c r="Z48" s="1369"/>
      <c r="AA48" s="1369"/>
      <c r="AB48" s="1369"/>
      <c r="AC48" s="1369"/>
    </row>
    <row r="49" spans="1:29" ht="15.75" thickBot="1">
      <c r="A49" s="115" t="s">
        <v>115</v>
      </c>
      <c r="B49" s="116"/>
      <c r="C49" s="2881">
        <f>R49</f>
        <v>19233</v>
      </c>
      <c r="D49" s="2882"/>
      <c r="E49" s="2882"/>
      <c r="F49" s="2882"/>
      <c r="G49" s="2882"/>
      <c r="H49" s="2882"/>
      <c r="I49" s="2882"/>
      <c r="J49" s="2882"/>
      <c r="K49" s="1372"/>
      <c r="L49" s="2330"/>
      <c r="M49" s="2331"/>
      <c r="N49" s="2331"/>
      <c r="O49" s="2331"/>
      <c r="P49" s="3694" t="str">
        <f>A49</f>
        <v>估价对象XX用房的比较价值（楼面单价，元/平方米）</v>
      </c>
      <c r="Q49" s="3695"/>
      <c r="R49" s="3696">
        <f>IF(F1="售价",ROUND(AVERAGE(R48:V48),0),ROUND(AVERAGE(R48:V48),1))</f>
        <v>19233</v>
      </c>
      <c r="S49" s="3696"/>
      <c r="T49" s="3696"/>
      <c r="U49" s="3696"/>
      <c r="V49" s="3696"/>
      <c r="W49" s="3696"/>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2.0408163265306145E-2</v>
      </c>
      <c r="F52" s="847" t="str">
        <f>IF(OR(E52&gt;=0.3,E52&lt;=-0.3),"超过30%","")</f>
        <v/>
      </c>
      <c r="G52" s="846">
        <f>IF(G47&lt;G48,G48/G47-1,G47/G48-1)</f>
        <v>4.1675617615467342E-2</v>
      </c>
      <c r="H52" s="847" t="str">
        <f>IF(OR(G52&gt;=0.3,G52&lt;=-0.3),"超过30%","")</f>
        <v/>
      </c>
      <c r="I52" s="846">
        <f>IF(I47&lt;I48,I48/I47-1,I47/I48-1)</f>
        <v>6.4754550468836269E-2</v>
      </c>
      <c r="J52" s="847" t="str">
        <f>IF(OR(I52&gt;=0.3,I52&lt;=-0.3),"超过30%","")</f>
        <v/>
      </c>
      <c r="K52" s="2332"/>
      <c r="L52" s="2333"/>
      <c r="M52" s="2331"/>
      <c r="N52" s="2331"/>
      <c r="O52" s="2331"/>
    </row>
    <row r="53" spans="1:29" ht="13.5" customHeight="1">
      <c r="A53" s="2331"/>
      <c r="B53" s="2331"/>
      <c r="C53" s="844" t="s">
        <v>1243</v>
      </c>
      <c r="D53" s="848"/>
      <c r="E53" s="846">
        <f>IF(E48&lt;G48,G48/E48-1,E48/G48-1)</f>
        <v>2.0842105263157995E-2</v>
      </c>
      <c r="F53" s="847" t="str">
        <f>IF(OR(E53&gt;=0.2,E53&lt;=-0.2),"超过20%","")</f>
        <v/>
      </c>
      <c r="G53" s="846">
        <f>IF(G48&lt;I48,I48/G48-1,G48/I48-1)</f>
        <v>4.7658516369664117E-3</v>
      </c>
      <c r="H53" s="847" t="str">
        <f>IF(OR(G53&gt;=0.2,G53&lt;=-0.2),"超过20%","")</f>
        <v/>
      </c>
      <c r="I53" s="846">
        <f>IF(I48&lt;E48,E48/I48-1,I48/E48-1)</f>
        <v>1.6000000000000014E-2</v>
      </c>
      <c r="J53" s="847" t="str">
        <f>IF(OR(I53&gt;=0.2,I53&lt;=-0.2),"超过20%","")</f>
        <v/>
      </c>
      <c r="K53" s="2332"/>
      <c r="L53" s="2333"/>
      <c r="M53" s="2331"/>
      <c r="N53" s="2331"/>
      <c r="O53" s="2331"/>
    </row>
    <row r="54" spans="1:29" s="119" customFormat="1" ht="13.5" customHeight="1">
      <c r="A54" s="2336"/>
      <c r="B54" s="2336"/>
      <c r="C54" s="844" t="s">
        <v>1244</v>
      </c>
      <c r="D54" s="848"/>
      <c r="E54" s="846">
        <f>IF(E47&lt;G47,G47/E47-1,E47/G47-1)</f>
        <v>0</v>
      </c>
      <c r="F54" s="847" t="str">
        <f>IF(OR(E54&gt;=0.3,E54&lt;=-0.3),"超过30%","")</f>
        <v/>
      </c>
      <c r="G54" s="846">
        <f>IF(G47&lt;I47,I47/G47-1,G47/I47-1)</f>
        <v>2.7027027027026973E-2</v>
      </c>
      <c r="H54" s="847" t="str">
        <f>IF(OR(G54&gt;=0.3,G54&lt;=-0.3),"超过30%","")</f>
        <v/>
      </c>
      <c r="I54" s="846">
        <f>IF(I47&lt;E47,E47/I47-1,I47/E47-1)</f>
        <v>2.7027027027026973E-2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3201</v>
      </c>
      <c r="B58" s="853"/>
      <c r="C58" s="3084" t="str">
        <f>YEAR(C7)&amp;"-"&amp;MONTH(C7)</f>
        <v>2017-8</v>
      </c>
      <c r="D58" s="3083">
        <f>EDATE(C58,-1)</f>
        <v>42917</v>
      </c>
      <c r="E58" s="3083">
        <f>EDATE(D58,-1)</f>
        <v>42887</v>
      </c>
      <c r="F58" s="3083">
        <f t="shared" ref="F58:O58" si="19">EDATE(E58,-1)</f>
        <v>42856</v>
      </c>
      <c r="G58" s="3083">
        <f t="shared" si="19"/>
        <v>42826</v>
      </c>
      <c r="H58" s="3083">
        <f t="shared" si="19"/>
        <v>42795</v>
      </c>
      <c r="I58" s="3083">
        <f t="shared" si="19"/>
        <v>42767</v>
      </c>
      <c r="J58" s="3083">
        <f t="shared" si="19"/>
        <v>42736</v>
      </c>
      <c r="K58" s="3083">
        <f t="shared" si="19"/>
        <v>42705</v>
      </c>
      <c r="L58" s="3083">
        <f t="shared" si="19"/>
        <v>42675</v>
      </c>
      <c r="M58" s="3083">
        <f t="shared" si="19"/>
        <v>42644</v>
      </c>
      <c r="N58" s="3083">
        <f t="shared" si="19"/>
        <v>42614</v>
      </c>
      <c r="O58" s="3083">
        <f t="shared" si="19"/>
        <v>42583</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1252</v>
      </c>
      <c r="D78" s="925" t="s">
        <v>1253</v>
      </c>
      <c r="E78" s="925" t="s">
        <v>1254</v>
      </c>
      <c r="F78" s="925" t="s">
        <v>1255</v>
      </c>
      <c r="G78" s="925" t="s">
        <v>1256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3037</v>
      </c>
      <c r="C80" s="925" t="s">
        <v>1252</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3047</v>
      </c>
      <c r="C82" s="177" t="s">
        <v>3048</v>
      </c>
      <c r="D82" s="177" t="s">
        <v>3052</v>
      </c>
      <c r="E82" s="177" t="s">
        <v>3049</v>
      </c>
      <c r="F82" s="177" t="s">
        <v>3050</v>
      </c>
      <c r="G82" s="177" t="s">
        <v>3051</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2663</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98</v>
      </c>
      <c r="E91" s="907">
        <v>96</v>
      </c>
      <c r="F91" s="907">
        <v>94</v>
      </c>
      <c r="G91" s="907">
        <v>92</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3464</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3039</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2664</v>
      </c>
    </row>
    <row r="137" spans="1:17" ht="14.25">
      <c r="B137" s="2166" t="s">
        <v>2665</v>
      </c>
      <c r="C137" s="2167"/>
      <c r="D137" s="2167"/>
      <c r="E137" s="2167"/>
      <c r="F137" s="2167"/>
      <c r="G137" s="2168"/>
      <c r="H137" s="2169"/>
      <c r="I137" s="2170" t="s">
        <v>2666</v>
      </c>
      <c r="J137" s="2167"/>
      <c r="K137" s="2171"/>
    </row>
    <row r="138" spans="1:17" ht="14.25">
      <c r="B138" s="2172"/>
      <c r="C138" s="1800" t="s">
        <v>2667</v>
      </c>
      <c r="D138" s="1800" t="s">
        <v>2668</v>
      </c>
      <c r="E138" s="2173" t="s">
        <v>2669</v>
      </c>
      <c r="F138" s="2174" t="s">
        <v>2670</v>
      </c>
      <c r="G138" s="1800" t="s">
        <v>2668</v>
      </c>
      <c r="H138" s="2175" t="s">
        <v>2669</v>
      </c>
      <c r="I138" s="2176"/>
      <c r="J138" s="1800" t="s">
        <v>2671</v>
      </c>
      <c r="K138" s="2175" t="s">
        <v>2672</v>
      </c>
    </row>
    <row r="139" spans="1:17" ht="15">
      <c r="B139" s="2177">
        <v>6</v>
      </c>
      <c r="C139" s="2178">
        <v>96</v>
      </c>
      <c r="D139" s="2179" t="s">
        <v>2673</v>
      </c>
      <c r="E139" s="2180">
        <v>100</v>
      </c>
      <c r="F139" s="2181">
        <v>102.5</v>
      </c>
      <c r="G139" s="2179" t="s">
        <v>2673</v>
      </c>
      <c r="H139" s="2182">
        <v>105</v>
      </c>
      <c r="I139" s="2183" t="s">
        <v>2674</v>
      </c>
      <c r="J139" s="2178">
        <v>20</v>
      </c>
      <c r="K139" s="2184">
        <f>C145/(J139-2)</f>
        <v>4.0555555555555553E-3</v>
      </c>
    </row>
    <row r="140" spans="1:17" ht="15">
      <c r="B140" s="2185">
        <v>5</v>
      </c>
      <c r="C140" s="2186">
        <v>100</v>
      </c>
      <c r="D140" s="2187"/>
      <c r="E140" s="2188"/>
      <c r="F140" s="2189">
        <v>102</v>
      </c>
      <c r="G140" s="2187"/>
      <c r="H140" s="2190"/>
      <c r="I140" s="2191" t="s">
        <v>2675</v>
      </c>
      <c r="J140" s="651">
        <f>ROUNDUP((J139-1)/2,0)</f>
        <v>10</v>
      </c>
      <c r="K140" s="2192">
        <v>100</v>
      </c>
    </row>
    <row r="141" spans="1:17" ht="15">
      <c r="B141" s="2185">
        <v>4</v>
      </c>
      <c r="C141" s="2186">
        <v>102</v>
      </c>
      <c r="D141" s="2187"/>
      <c r="E141" s="2188"/>
      <c r="F141" s="2189">
        <v>101.5</v>
      </c>
      <c r="G141" s="2187"/>
      <c r="H141" s="2190"/>
      <c r="I141" s="2191" t="s">
        <v>2676</v>
      </c>
      <c r="J141" s="651">
        <v>1</v>
      </c>
      <c r="K141" s="2193">
        <f>ROUND(100+(J141-J140)*K139*100,1)</f>
        <v>96.4</v>
      </c>
    </row>
    <row r="142" spans="1:17" ht="15">
      <c r="B142" s="2185">
        <v>3</v>
      </c>
      <c r="C142" s="2186">
        <v>103</v>
      </c>
      <c r="D142" s="2187"/>
      <c r="E142" s="2188"/>
      <c r="F142" s="2189">
        <v>101</v>
      </c>
      <c r="G142" s="2187"/>
      <c r="H142" s="2190"/>
      <c r="I142" s="2191" t="s">
        <v>2677</v>
      </c>
      <c r="J142" s="651">
        <f>J139</f>
        <v>20</v>
      </c>
      <c r="K142" s="2194">
        <v>95</v>
      </c>
    </row>
    <row r="143" spans="1:17" ht="15">
      <c r="B143" s="2185">
        <v>2</v>
      </c>
      <c r="C143" s="2186">
        <v>100</v>
      </c>
      <c r="D143" s="2187"/>
      <c r="E143" s="2188"/>
      <c r="F143" s="2189">
        <v>100.5</v>
      </c>
      <c r="G143" s="2187"/>
      <c r="H143" s="2190"/>
      <c r="I143" s="2191" t="s">
        <v>2678</v>
      </c>
      <c r="J143" s="2186">
        <v>15</v>
      </c>
      <c r="K143" s="2193">
        <f>ROUND(100+(J143-J140)*K139*100,1)</f>
        <v>102</v>
      </c>
    </row>
    <row r="144" spans="1:17" ht="15">
      <c r="B144" s="2185">
        <v>1</v>
      </c>
      <c r="C144" s="2186">
        <v>98</v>
      </c>
      <c r="D144" s="1164" t="s">
        <v>2679</v>
      </c>
      <c r="E144" s="2188">
        <v>102</v>
      </c>
      <c r="F144" s="2195">
        <v>100</v>
      </c>
      <c r="G144" s="1164" t="s">
        <v>2679</v>
      </c>
      <c r="H144" s="2190">
        <v>105</v>
      </c>
      <c r="I144" s="2191" t="s">
        <v>2678</v>
      </c>
      <c r="J144" s="2186">
        <v>18</v>
      </c>
      <c r="K144" s="2193">
        <f>ROUND(100+(J144-J140)*K139*100,1)</f>
        <v>103.2</v>
      </c>
    </row>
    <row r="145" spans="2:11" ht="15.75" thickBot="1">
      <c r="B145" s="2196" t="s">
        <v>2680</v>
      </c>
      <c r="C145" s="2197">
        <f>ROUND(MAX(C139:C144)/MIN(C139:C144)-1,3)</f>
        <v>7.2999999999999995E-2</v>
      </c>
      <c r="D145" s="2198"/>
      <c r="E145" s="2199"/>
      <c r="F145" s="2200" t="s">
        <v>2681</v>
      </c>
      <c r="G145" s="2201"/>
      <c r="H145" s="2202"/>
      <c r="I145" s="2203" t="s">
        <v>2682</v>
      </c>
      <c r="J145" s="2204">
        <v>8</v>
      </c>
      <c r="K145" s="2205">
        <f>ROUND(100+(J145-J140)*K139*100,1)</f>
        <v>99.2</v>
      </c>
    </row>
    <row r="147" spans="2:11">
      <c r="B147" s="2165" t="s">
        <v>2690</v>
      </c>
    </row>
    <row r="148" spans="2:11">
      <c r="B148" s="2165" t="s">
        <v>2691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I48" sqref="I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1217</v>
      </c>
      <c r="C1" s="3144" t="s">
        <v>1218</v>
      </c>
      <c r="D1" s="3145" t="s">
        <v>3493</v>
      </c>
      <c r="E1" s="3146"/>
      <c r="F1" s="3147" t="s">
        <v>3098</v>
      </c>
      <c r="G1" s="3149" t="s">
        <v>192</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1220</v>
      </c>
      <c r="B2" s="2883">
        <f>IF(C2="——",ROUND(B3*D3/10000,0),ROUND(B3*D3/10000,0)-D2)</f>
        <v>117726</v>
      </c>
      <c r="C2" s="3139" t="s">
        <v>755</v>
      </c>
      <c r="D2" s="2760" t="e">
        <f ca="1">SUMIF(INDIRECT("'"&amp;F2&amp;"'"&amp;"!A:A"),"承租人权益价值",INDIRECT("'"&amp;F2&amp;"'"&amp;"!c:c"))</f>
        <v>#N/A</v>
      </c>
      <c r="E2" s="3140" t="s">
        <v>1105</v>
      </c>
      <c r="F2" s="3141" t="s">
        <v>3072</v>
      </c>
      <c r="G2" s="2317"/>
      <c r="H2" s="2317"/>
      <c r="I2" s="2317"/>
      <c r="J2" s="2317"/>
      <c r="K2" s="2319"/>
      <c r="L2" s="2320"/>
      <c r="M2" s="2321"/>
      <c r="N2" s="2321"/>
      <c r="O2" s="2321"/>
      <c r="P2" s="1341"/>
      <c r="Q2" s="1340"/>
      <c r="R2" s="1340"/>
      <c r="S2" s="1340"/>
      <c r="T2" s="1340"/>
      <c r="U2" s="1340"/>
      <c r="V2" s="1340"/>
      <c r="W2" s="1340"/>
      <c r="X2" s="1340"/>
      <c r="Y2" s="1340"/>
      <c r="Z2" s="1340"/>
      <c r="AA2" s="1340"/>
      <c r="AB2" s="1340"/>
      <c r="AC2" s="1342"/>
    </row>
    <row r="3" spans="1:29" s="89" customFormat="1" ht="28.5" customHeight="1" thickBot="1">
      <c r="A3" s="87" t="s">
        <v>1221</v>
      </c>
      <c r="B3" s="746">
        <f>C49</f>
        <v>16113</v>
      </c>
      <c r="C3" s="142" t="s">
        <v>1222</v>
      </c>
      <c r="D3" s="746">
        <f>IF(D1="",'数据-汇总表'!E3,SUMIF('数据-汇总表'!$C19:$C33,D1,'数据-汇总表'!$E19:$E33))</f>
        <v>73063.02</v>
      </c>
      <c r="E3" s="2317"/>
      <c r="F3" s="2318"/>
      <c r="G3" s="2317"/>
      <c r="H3" s="2317"/>
      <c r="I3" s="2317"/>
      <c r="J3" s="2317"/>
      <c r="K3" s="2319"/>
      <c r="L3" s="2320"/>
      <c r="M3" s="2321"/>
      <c r="N3" s="2321"/>
      <c r="O3" s="2321"/>
      <c r="P3" s="1341"/>
      <c r="Q3" s="1340"/>
      <c r="R3" s="1340"/>
      <c r="S3" s="1340"/>
      <c r="T3" s="1340"/>
      <c r="U3" s="1340"/>
      <c r="V3" s="1340"/>
      <c r="W3" s="1340"/>
      <c r="X3" s="1340"/>
      <c r="Y3" s="1340"/>
      <c r="Z3" s="1340"/>
      <c r="AA3" s="1340"/>
      <c r="AB3" s="1340"/>
      <c r="AC3" s="1343"/>
    </row>
    <row r="4" spans="1:29">
      <c r="A4" s="143" t="s">
        <v>58</v>
      </c>
      <c r="B4" s="144"/>
      <c r="C4" s="3680" t="s">
        <v>59</v>
      </c>
      <c r="D4" s="3681"/>
      <c r="E4" s="3682" t="s">
        <v>60</v>
      </c>
      <c r="F4" s="3683"/>
      <c r="G4" s="3680" t="s">
        <v>61</v>
      </c>
      <c r="H4" s="3681"/>
      <c r="I4" s="3680" t="s">
        <v>62</v>
      </c>
      <c r="J4" s="3681"/>
      <c r="K4" s="145" t="s">
        <v>63</v>
      </c>
      <c r="L4" s="2322"/>
      <c r="M4" s="2323"/>
      <c r="N4" s="2323"/>
      <c r="O4" s="2323"/>
      <c r="P4" s="3684" t="s">
        <v>58</v>
      </c>
      <c r="Q4" s="3685"/>
      <c r="R4" s="3673" t="s">
        <v>60</v>
      </c>
      <c r="S4" s="3674"/>
      <c r="T4" s="3673" t="s">
        <v>61</v>
      </c>
      <c r="U4" s="3674"/>
      <c r="V4" s="3692" t="s">
        <v>62</v>
      </c>
      <c r="W4" s="3692"/>
      <c r="X4" s="3332"/>
      <c r="Y4" s="3673" t="s">
        <v>58</v>
      </c>
      <c r="Z4" s="3674"/>
      <c r="AA4" s="3668" t="s">
        <v>60</v>
      </c>
      <c r="AB4" s="3668" t="s">
        <v>61</v>
      </c>
      <c r="AC4" s="3668" t="s">
        <v>62</v>
      </c>
    </row>
    <row r="5" spans="1:29">
      <c r="A5" s="146"/>
      <c r="B5" s="147"/>
      <c r="C5" s="3631" t="s">
        <v>64</v>
      </c>
      <c r="D5" s="3632"/>
      <c r="E5" s="3629" t="s">
        <v>3462</v>
      </c>
      <c r="F5" s="3630"/>
      <c r="G5" s="3631" t="s">
        <v>3467</v>
      </c>
      <c r="H5" s="3632"/>
      <c r="I5" s="3631" t="s">
        <v>3466</v>
      </c>
      <c r="J5" s="3632"/>
      <c r="K5" s="152"/>
      <c r="L5" s="2322"/>
      <c r="M5" s="2323"/>
      <c r="N5" s="2323"/>
      <c r="O5" s="2323"/>
      <c r="P5" s="3686"/>
      <c r="Q5" s="3687"/>
      <c r="R5" s="3675"/>
      <c r="S5" s="3676"/>
      <c r="T5" s="3675"/>
      <c r="U5" s="3676"/>
      <c r="V5" s="3692"/>
      <c r="W5" s="3692"/>
      <c r="X5" s="3332"/>
      <c r="Y5" s="3675"/>
      <c r="Z5" s="3676"/>
      <c r="AA5" s="3669"/>
      <c r="AB5" s="3669"/>
      <c r="AC5" s="3669"/>
    </row>
    <row r="6" spans="1:29" ht="14.25" thickBot="1">
      <c r="A6" s="148"/>
      <c r="B6" s="149"/>
      <c r="C6" s="3633" t="s">
        <v>68</v>
      </c>
      <c r="D6" s="3634"/>
      <c r="E6" s="3677" t="s">
        <v>68</v>
      </c>
      <c r="F6" s="3678"/>
      <c r="G6" s="3633" t="s">
        <v>68</v>
      </c>
      <c r="H6" s="3634"/>
      <c r="I6" s="3633" t="s">
        <v>68</v>
      </c>
      <c r="J6" s="3634"/>
      <c r="K6" s="152" t="s">
        <v>169</v>
      </c>
      <c r="L6" s="2322"/>
      <c r="M6" s="2323"/>
      <c r="N6" s="2323"/>
      <c r="O6" s="2323"/>
      <c r="P6" s="3688"/>
      <c r="Q6" s="3689"/>
      <c r="R6" s="3675"/>
      <c r="S6" s="3676"/>
      <c r="T6" s="3690"/>
      <c r="U6" s="3691"/>
      <c r="V6" s="3692"/>
      <c r="W6" s="3692"/>
      <c r="X6" s="3332"/>
      <c r="Y6" s="3690"/>
      <c r="Z6" s="3691"/>
      <c r="AA6" s="3670"/>
      <c r="AB6" s="3670"/>
      <c r="AC6" s="3670"/>
    </row>
    <row r="7" spans="1:29" s="40" customFormat="1" ht="15" thickBot="1">
      <c r="A7" s="1018" t="s">
        <v>69</v>
      </c>
      <c r="B7" s="1019"/>
      <c r="C7" s="1020">
        <f>'数据-取费表'!B2</f>
        <v>42959</v>
      </c>
      <c r="D7" s="758">
        <v>100</v>
      </c>
      <c r="E7" s="1021">
        <f>C7</f>
        <v>42959</v>
      </c>
      <c r="F7" s="760">
        <f>SUMIF(58:58,YEAR(E7)&amp;"-"&amp;MONTH(E7),59:59)</f>
        <v>100</v>
      </c>
      <c r="G7" s="1022">
        <f>C7</f>
        <v>42959</v>
      </c>
      <c r="H7" s="758">
        <f>SUMIF(58:58,YEAR(G7)&amp;"-"&amp;MONTH(G7),59:59)</f>
        <v>100</v>
      </c>
      <c r="I7" s="1022">
        <f>C7</f>
        <v>42959</v>
      </c>
      <c r="J7" s="758">
        <f>SUMIF(58:58,YEAR(I7)&amp;"-"&amp;MONTH(I7),59:59)</f>
        <v>100</v>
      </c>
      <c r="K7" s="1345"/>
      <c r="L7" s="2324"/>
      <c r="M7" s="2286"/>
      <c r="N7" s="2286"/>
      <c r="O7" s="2286"/>
      <c r="P7" s="3671" t="s">
        <v>69</v>
      </c>
      <c r="Q7" s="3693"/>
      <c r="R7" s="1346" t="s">
        <v>164</v>
      </c>
      <c r="S7" s="1347">
        <f t="shared" ref="S7:S15" si="0">F7</f>
        <v>100</v>
      </c>
      <c r="T7" s="1346" t="s">
        <v>164</v>
      </c>
      <c r="U7" s="1347">
        <f t="shared" ref="U7:U15" si="1">H7</f>
        <v>100</v>
      </c>
      <c r="V7" s="1346" t="s">
        <v>164</v>
      </c>
      <c r="W7" s="1347">
        <f t="shared" ref="W7:W15" si="2">J7</f>
        <v>100</v>
      </c>
      <c r="X7" s="293"/>
      <c r="Y7" s="3671" t="s">
        <v>69</v>
      </c>
      <c r="Z7" s="3672"/>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4"/>
      <c r="M8" s="2286"/>
      <c r="N8" s="2286"/>
      <c r="O8" s="2286"/>
      <c r="P8" s="3671" t="s">
        <v>71</v>
      </c>
      <c r="Q8" s="3672"/>
      <c r="R8" s="1346" t="s">
        <v>164</v>
      </c>
      <c r="S8" s="1347">
        <f t="shared" si="0"/>
        <v>100</v>
      </c>
      <c r="T8" s="1346" t="s">
        <v>164</v>
      </c>
      <c r="U8" s="1347">
        <f t="shared" si="1"/>
        <v>100</v>
      </c>
      <c r="V8" s="1346" t="s">
        <v>164</v>
      </c>
      <c r="W8" s="1347">
        <f t="shared" si="2"/>
        <v>100</v>
      </c>
      <c r="X8" s="293"/>
      <c r="Y8" s="3671" t="s">
        <v>71</v>
      </c>
      <c r="Z8" s="3672"/>
      <c r="AA8" s="1348">
        <f t="shared" ref="AA8:AA19" si="3">D8/F8</f>
        <v>1</v>
      </c>
      <c r="AB8" s="1348">
        <f t="shared" ref="AB8:AB19" si="4">D8/H8</f>
        <v>1</v>
      </c>
      <c r="AC8" s="1348">
        <f t="shared" ref="AC8:AC19" si="5">D8/J8</f>
        <v>1</v>
      </c>
    </row>
    <row r="9" spans="1:29" s="40" customFormat="1" ht="14.25">
      <c r="A9" s="1025" t="s">
        <v>72</v>
      </c>
      <c r="B9" s="62" t="s">
        <v>73</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4"/>
      <c r="M9" s="2286"/>
      <c r="N9" s="2286"/>
      <c r="O9" s="2286"/>
      <c r="P9" s="3679" t="s">
        <v>72</v>
      </c>
      <c r="Q9" s="3327" t="str">
        <f t="shared" ref="Q9:Q15" si="6">B9</f>
        <v>用途</v>
      </c>
      <c r="R9" s="1346" t="s">
        <v>70</v>
      </c>
      <c r="S9" s="1347">
        <f t="shared" si="0"/>
        <v>100</v>
      </c>
      <c r="T9" s="1346" t="s">
        <v>70</v>
      </c>
      <c r="U9" s="1347">
        <f t="shared" si="1"/>
        <v>100</v>
      </c>
      <c r="V9" s="1346" t="s">
        <v>70</v>
      </c>
      <c r="W9" s="1347">
        <f t="shared" si="2"/>
        <v>100</v>
      </c>
      <c r="X9" s="293"/>
      <c r="Y9" s="3491" t="s">
        <v>72</v>
      </c>
      <c r="Z9" s="3328" t="str">
        <f t="shared" ref="Z9:Z15" si="7">Q9</f>
        <v>用途</v>
      </c>
      <c r="AA9" s="1348">
        <f t="shared" si="3"/>
        <v>1</v>
      </c>
      <c r="AB9" s="1348">
        <f t="shared" si="4"/>
        <v>1</v>
      </c>
      <c r="AC9" s="1348">
        <f t="shared" si="5"/>
        <v>1</v>
      </c>
    </row>
    <row r="10" spans="1:29" s="92" customFormat="1" ht="27">
      <c r="A10" s="150"/>
      <c r="B10" s="3329" t="s">
        <v>125</v>
      </c>
      <c r="C10" s="1353" t="s">
        <v>286</v>
      </c>
      <c r="D10" s="430">
        <v>100</v>
      </c>
      <c r="E10" s="1354" t="s">
        <v>286</v>
      </c>
      <c r="F10" s="773">
        <f>SUMIF(65:65,E10,66:66)-SUMIF(65:65,C10,66:66)+100</f>
        <v>100</v>
      </c>
      <c r="G10" s="1353" t="s">
        <v>286</v>
      </c>
      <c r="H10" s="430">
        <f>SUMIF(65:65,G10,66:66)-SUMIF(65:65,C10,66:66)+100</f>
        <v>100</v>
      </c>
      <c r="I10" s="1353" t="s">
        <v>286</v>
      </c>
      <c r="J10" s="430">
        <f>SUMIF(65:65,I10,66:66)-SUMIF(65:65,C10,66:66)+100</f>
        <v>100</v>
      </c>
      <c r="K10" s="774">
        <v>1</v>
      </c>
      <c r="L10" s="2325"/>
      <c r="M10" s="2326"/>
      <c r="N10" s="2326"/>
      <c r="O10" s="2326"/>
      <c r="P10" s="3679"/>
      <c r="Q10" s="3327" t="str">
        <f t="shared" si="6"/>
        <v>土地使用年限（年）</v>
      </c>
      <c r="R10" s="1346" t="s">
        <v>70</v>
      </c>
      <c r="S10" s="1347">
        <f t="shared" si="0"/>
        <v>100</v>
      </c>
      <c r="T10" s="1346" t="s">
        <v>70</v>
      </c>
      <c r="U10" s="1347">
        <f t="shared" si="1"/>
        <v>100</v>
      </c>
      <c r="V10" s="1346" t="s">
        <v>70</v>
      </c>
      <c r="W10" s="1347">
        <f t="shared" si="2"/>
        <v>100</v>
      </c>
      <c r="X10" s="293"/>
      <c r="Y10" s="3491"/>
      <c r="Z10" s="3328" t="str">
        <f t="shared" si="7"/>
        <v>土地使用年限（年）</v>
      </c>
      <c r="AA10" s="1348">
        <f t="shared" si="3"/>
        <v>1</v>
      </c>
      <c r="AB10" s="1348">
        <f t="shared" si="4"/>
        <v>1</v>
      </c>
      <c r="AC10" s="1348">
        <f t="shared" si="5"/>
        <v>1</v>
      </c>
    </row>
    <row r="11" spans="1:29" ht="15.75" thickBot="1">
      <c r="A11" s="151"/>
      <c r="B11" s="3329" t="s">
        <v>98</v>
      </c>
      <c r="C11" s="777">
        <v>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7"/>
      <c r="M11" s="2323"/>
      <c r="N11" s="2323"/>
      <c r="O11" s="2323"/>
      <c r="P11" s="3679"/>
      <c r="Q11" s="3327" t="str">
        <f t="shared" si="6"/>
        <v>容积率</v>
      </c>
      <c r="R11" s="1346" t="s">
        <v>70</v>
      </c>
      <c r="S11" s="1347">
        <f t="shared" si="0"/>
        <v>100</v>
      </c>
      <c r="T11" s="1346" t="s">
        <v>70</v>
      </c>
      <c r="U11" s="1347">
        <f t="shared" si="1"/>
        <v>102</v>
      </c>
      <c r="V11" s="1346" t="s">
        <v>70</v>
      </c>
      <c r="W11" s="1347">
        <f t="shared" si="2"/>
        <v>104</v>
      </c>
      <c r="X11" s="293"/>
      <c r="Y11" s="3491"/>
      <c r="Z11" s="3328"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4"/>
      <c r="M12" s="2286"/>
      <c r="N12" s="2286"/>
      <c r="O12" s="2286"/>
      <c r="P12" s="3679"/>
      <c r="Q12" s="3327">
        <f t="shared" si="6"/>
        <v>111</v>
      </c>
      <c r="R12" s="1346" t="s">
        <v>70</v>
      </c>
      <c r="S12" s="1347">
        <f t="shared" si="0"/>
        <v>100</v>
      </c>
      <c r="T12" s="1346" t="s">
        <v>70</v>
      </c>
      <c r="U12" s="1347">
        <f t="shared" si="1"/>
        <v>100</v>
      </c>
      <c r="V12" s="1346" t="s">
        <v>70</v>
      </c>
      <c r="W12" s="1347">
        <f t="shared" si="2"/>
        <v>100</v>
      </c>
      <c r="X12" s="293"/>
      <c r="Y12" s="3491"/>
      <c r="Z12" s="3328">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8"/>
      <c r="M13" s="2323"/>
      <c r="N13" s="2323"/>
      <c r="O13" s="2323"/>
      <c r="P13" s="3679"/>
      <c r="Q13" s="3327">
        <f t="shared" si="6"/>
        <v>111</v>
      </c>
      <c r="R13" s="1346" t="s">
        <v>70</v>
      </c>
      <c r="S13" s="1347">
        <f t="shared" si="0"/>
        <v>100</v>
      </c>
      <c r="T13" s="1346" t="s">
        <v>70</v>
      </c>
      <c r="U13" s="1347">
        <f t="shared" si="1"/>
        <v>100</v>
      </c>
      <c r="V13" s="1346" t="s">
        <v>70</v>
      </c>
      <c r="W13" s="1347">
        <f t="shared" si="2"/>
        <v>100</v>
      </c>
      <c r="X13" s="293"/>
      <c r="Y13" s="3491"/>
      <c r="Z13" s="3328">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8"/>
      <c r="M14" s="2323"/>
      <c r="N14" s="2323"/>
      <c r="O14" s="2323"/>
      <c r="P14" s="3679"/>
      <c r="Q14" s="3327">
        <f t="shared" si="6"/>
        <v>111</v>
      </c>
      <c r="R14" s="1346" t="s">
        <v>70</v>
      </c>
      <c r="S14" s="1347">
        <f t="shared" si="0"/>
        <v>100</v>
      </c>
      <c r="T14" s="1346" t="s">
        <v>70</v>
      </c>
      <c r="U14" s="1347">
        <f t="shared" si="1"/>
        <v>100</v>
      </c>
      <c r="V14" s="1346" t="s">
        <v>70</v>
      </c>
      <c r="W14" s="1347">
        <f t="shared" si="2"/>
        <v>100</v>
      </c>
      <c r="X14" s="293"/>
      <c r="Y14" s="3491"/>
      <c r="Z14" s="3328">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8"/>
      <c r="M15" s="2323"/>
      <c r="N15" s="2323"/>
      <c r="O15" s="2323"/>
      <c r="P15" s="3706" t="s">
        <v>74</v>
      </c>
      <c r="Q15" s="3330" t="str">
        <f t="shared" si="6"/>
        <v>居住社区成熟度</v>
      </c>
      <c r="R15" s="1356" t="s">
        <v>70</v>
      </c>
      <c r="S15" s="1357">
        <f t="shared" si="0"/>
        <v>100</v>
      </c>
      <c r="T15" s="1356" t="s">
        <v>70</v>
      </c>
      <c r="U15" s="1357">
        <f t="shared" si="1"/>
        <v>97</v>
      </c>
      <c r="V15" s="1356" t="s">
        <v>70</v>
      </c>
      <c r="W15" s="1357">
        <f t="shared" si="2"/>
        <v>97</v>
      </c>
      <c r="X15" s="3332"/>
      <c r="Y15" s="3699" t="s">
        <v>74</v>
      </c>
      <c r="Z15" s="3333" t="str">
        <f t="shared" si="7"/>
        <v>居住社区成熟度</v>
      </c>
      <c r="AA15" s="3331">
        <f t="shared" si="3"/>
        <v>1</v>
      </c>
      <c r="AB15" s="3331">
        <f t="shared" si="4"/>
        <v>1.0309278350515463</v>
      </c>
      <c r="AC15" s="3331">
        <f t="shared" si="5"/>
        <v>1.0309278350515463</v>
      </c>
    </row>
    <row r="16" spans="1:29" ht="14.25">
      <c r="A16" s="151"/>
      <c r="B16" s="156"/>
      <c r="C16" s="97" t="s">
        <v>123</v>
      </c>
      <c r="D16" s="796"/>
      <c r="E16" s="99" t="s">
        <v>123</v>
      </c>
      <c r="F16" s="796"/>
      <c r="G16" s="98" t="s">
        <v>124</v>
      </c>
      <c r="H16" s="798"/>
      <c r="I16" s="98" t="s">
        <v>124</v>
      </c>
      <c r="J16" s="796"/>
      <c r="K16" s="159"/>
      <c r="L16" s="2328"/>
      <c r="M16" s="2323"/>
      <c r="N16" s="2323"/>
      <c r="O16" s="2323"/>
      <c r="P16" s="3707"/>
      <c r="Q16" s="3330"/>
      <c r="R16" s="1356"/>
      <c r="S16" s="1357"/>
      <c r="T16" s="1356"/>
      <c r="U16" s="1357"/>
      <c r="V16" s="1356"/>
      <c r="W16" s="1357"/>
      <c r="X16" s="3332"/>
      <c r="Y16" s="3700"/>
      <c r="Z16" s="3333"/>
      <c r="AA16" s="3331">
        <v>1</v>
      </c>
      <c r="AB16" s="3331">
        <v>1</v>
      </c>
      <c r="AC16" s="3331">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97</v>
      </c>
      <c r="K17" s="793">
        <v>3</v>
      </c>
      <c r="L17" s="2328"/>
      <c r="M17" s="2323"/>
      <c r="N17" s="2323"/>
      <c r="O17" s="2323"/>
      <c r="P17" s="3707"/>
      <c r="Q17" s="3330" t="str">
        <f>B17</f>
        <v>交通便捷度</v>
      </c>
      <c r="R17" s="1356" t="s">
        <v>70</v>
      </c>
      <c r="S17" s="1357">
        <f>F17</f>
        <v>100</v>
      </c>
      <c r="T17" s="1356" t="s">
        <v>70</v>
      </c>
      <c r="U17" s="1357">
        <f>H17</f>
        <v>97</v>
      </c>
      <c r="V17" s="1356" t="s">
        <v>70</v>
      </c>
      <c r="W17" s="1357">
        <f>J17</f>
        <v>97</v>
      </c>
      <c r="X17" s="3332"/>
      <c r="Y17" s="3700"/>
      <c r="Z17" s="3333" t="str">
        <f>Q17</f>
        <v>交通便捷度</v>
      </c>
      <c r="AA17" s="3331">
        <f t="shared" si="3"/>
        <v>1</v>
      </c>
      <c r="AB17" s="3331">
        <f t="shared" si="4"/>
        <v>1.0309278350515463</v>
      </c>
      <c r="AC17" s="3331">
        <f t="shared" si="5"/>
        <v>1.0309278350515463</v>
      </c>
    </row>
    <row r="18" spans="1:29" ht="14.25">
      <c r="A18" s="151"/>
      <c r="B18" s="1045"/>
      <c r="C18" s="102" t="s">
        <v>123</v>
      </c>
      <c r="D18" s="798"/>
      <c r="E18" s="104" t="s">
        <v>123</v>
      </c>
      <c r="F18" s="798"/>
      <c r="G18" s="103" t="s">
        <v>124</v>
      </c>
      <c r="H18" s="796"/>
      <c r="I18" s="103" t="s">
        <v>124</v>
      </c>
      <c r="J18" s="796"/>
      <c r="K18" s="159"/>
      <c r="L18" s="2328"/>
      <c r="M18" s="2323"/>
      <c r="N18" s="2323"/>
      <c r="O18" s="2323"/>
      <c r="P18" s="3707"/>
      <c r="Q18" s="3330"/>
      <c r="R18" s="1356"/>
      <c r="S18" s="1357"/>
      <c r="T18" s="1356"/>
      <c r="U18" s="1357"/>
      <c r="V18" s="1356"/>
      <c r="W18" s="1357"/>
      <c r="X18" s="3332"/>
      <c r="Y18" s="3700"/>
      <c r="Z18" s="3333"/>
      <c r="AA18" s="3331">
        <v>1</v>
      </c>
      <c r="AB18" s="3331">
        <v>1</v>
      </c>
      <c r="AC18" s="3331">
        <v>1</v>
      </c>
    </row>
    <row r="19" spans="1:29" ht="40.5">
      <c r="A19" s="151"/>
      <c r="B19" s="1360" t="s">
        <v>3033</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8"/>
      <c r="M19" s="2323"/>
      <c r="N19" s="2323"/>
      <c r="O19" s="2323"/>
      <c r="P19" s="3707"/>
      <c r="Q19" s="3330" t="str">
        <f>B19</f>
        <v>公共配套设施</v>
      </c>
      <c r="R19" s="1356" t="s">
        <v>70</v>
      </c>
      <c r="S19" s="1357">
        <f>F19</f>
        <v>100</v>
      </c>
      <c r="T19" s="1356" t="s">
        <v>70</v>
      </c>
      <c r="U19" s="1357">
        <f>H19</f>
        <v>97</v>
      </c>
      <c r="V19" s="1356" t="s">
        <v>70</v>
      </c>
      <c r="W19" s="1357">
        <f>J19</f>
        <v>97</v>
      </c>
      <c r="X19" s="3332"/>
      <c r="Y19" s="3700"/>
      <c r="Z19" s="3333" t="str">
        <f>Q19</f>
        <v>公共配套设施</v>
      </c>
      <c r="AA19" s="3331">
        <f t="shared" si="3"/>
        <v>1</v>
      </c>
      <c r="AB19" s="3331">
        <f t="shared" si="4"/>
        <v>1.0309278350515463</v>
      </c>
      <c r="AC19" s="3331">
        <f t="shared" si="5"/>
        <v>1.0309278350515463</v>
      </c>
    </row>
    <row r="20" spans="1:29" ht="14.25">
      <c r="A20" s="151"/>
      <c r="B20" s="1045"/>
      <c r="C20" s="97" t="s">
        <v>123</v>
      </c>
      <c r="D20" s="796"/>
      <c r="E20" s="99" t="s">
        <v>123</v>
      </c>
      <c r="F20" s="796"/>
      <c r="G20" s="98" t="s">
        <v>124</v>
      </c>
      <c r="H20" s="796"/>
      <c r="I20" s="98" t="s">
        <v>124</v>
      </c>
      <c r="J20" s="796"/>
      <c r="K20" s="159"/>
      <c r="L20" s="2328"/>
      <c r="M20" s="2323"/>
      <c r="N20" s="2323"/>
      <c r="O20" s="2323"/>
      <c r="P20" s="3707"/>
      <c r="Q20" s="3330"/>
      <c r="R20" s="1356"/>
      <c r="S20" s="1357"/>
      <c r="T20" s="1356"/>
      <c r="U20" s="1357"/>
      <c r="V20" s="1356"/>
      <c r="W20" s="1357"/>
      <c r="X20" s="3332"/>
      <c r="Y20" s="3700"/>
      <c r="Z20" s="3333"/>
      <c r="AA20" s="3331">
        <v>1</v>
      </c>
      <c r="AB20" s="3331">
        <v>1</v>
      </c>
      <c r="AC20" s="3331">
        <v>1</v>
      </c>
    </row>
    <row r="21" spans="1:29" ht="27">
      <c r="A21" s="151"/>
      <c r="B21" s="1416" t="s">
        <v>3032</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8"/>
      <c r="M21" s="2323"/>
      <c r="N21" s="2323"/>
      <c r="O21" s="2323"/>
      <c r="P21" s="3707"/>
      <c r="Q21" s="3330" t="str">
        <f>B21</f>
        <v>基础设施水平</v>
      </c>
      <c r="R21" s="1356" t="s">
        <v>70</v>
      </c>
      <c r="S21" s="1357">
        <f>F21</f>
        <v>100</v>
      </c>
      <c r="T21" s="1356" t="s">
        <v>70</v>
      </c>
      <c r="U21" s="1357">
        <f>H21</f>
        <v>100</v>
      </c>
      <c r="V21" s="1356" t="s">
        <v>70</v>
      </c>
      <c r="W21" s="1357">
        <f>J21</f>
        <v>100</v>
      </c>
      <c r="X21" s="3332"/>
      <c r="Y21" s="3700"/>
      <c r="Z21" s="3333" t="str">
        <f>Q21</f>
        <v>基础设施水平</v>
      </c>
      <c r="AA21" s="3331">
        <f t="shared" ref="AA21" si="8">D21/F21</f>
        <v>1</v>
      </c>
      <c r="AB21" s="3331">
        <f t="shared" ref="AB21" si="9">D21/H21</f>
        <v>1</v>
      </c>
      <c r="AC21" s="3331">
        <f t="shared" ref="AC21" si="10">D21/J21</f>
        <v>1</v>
      </c>
    </row>
    <row r="22" spans="1:29" ht="14.25">
      <c r="A22" s="151"/>
      <c r="B22" s="1416"/>
      <c r="C22" s="102" t="s">
        <v>56</v>
      </c>
      <c r="D22" s="796"/>
      <c r="E22" s="97" t="s">
        <v>56</v>
      </c>
      <c r="F22" s="796"/>
      <c r="G22" s="192" t="s">
        <v>56</v>
      </c>
      <c r="H22" s="796"/>
      <c r="I22" s="97" t="s">
        <v>56</v>
      </c>
      <c r="J22" s="796"/>
      <c r="K22" s="2799"/>
      <c r="L22" s="2328"/>
      <c r="M22" s="2323"/>
      <c r="N22" s="2323"/>
      <c r="O22" s="2323"/>
      <c r="P22" s="3707"/>
      <c r="Q22" s="3330"/>
      <c r="R22" s="1356"/>
      <c r="S22" s="1357"/>
      <c r="T22" s="1356"/>
      <c r="U22" s="1357"/>
      <c r="V22" s="1356"/>
      <c r="W22" s="1357"/>
      <c r="X22" s="3332"/>
      <c r="Y22" s="3700"/>
      <c r="Z22" s="3333"/>
      <c r="AA22" s="3331">
        <v>1</v>
      </c>
      <c r="AB22" s="3331">
        <v>1</v>
      </c>
      <c r="AC22" s="3331">
        <v>1</v>
      </c>
    </row>
    <row r="23" spans="1:29" ht="54">
      <c r="A23" s="151"/>
      <c r="B23" s="1360" t="s">
        <v>78</v>
      </c>
      <c r="C23" s="158"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28"/>
      <c r="M23" s="2323"/>
      <c r="N23" s="2323"/>
      <c r="O23" s="2323"/>
      <c r="P23" s="3707"/>
      <c r="Q23" s="3330" t="str">
        <f>B23</f>
        <v>自然及人文环境</v>
      </c>
      <c r="R23" s="1356" t="s">
        <v>70</v>
      </c>
      <c r="S23" s="1357">
        <f>F23</f>
        <v>100</v>
      </c>
      <c r="T23" s="1356" t="s">
        <v>70</v>
      </c>
      <c r="U23" s="1357">
        <f>H23</f>
        <v>100</v>
      </c>
      <c r="V23" s="1356" t="s">
        <v>70</v>
      </c>
      <c r="W23" s="1357">
        <f>J23</f>
        <v>100</v>
      </c>
      <c r="X23" s="3332"/>
      <c r="Y23" s="3700"/>
      <c r="Z23" s="3333" t="str">
        <f>Q23</f>
        <v>自然及人文环境</v>
      </c>
      <c r="AA23" s="3331">
        <f>D23/F23</f>
        <v>1</v>
      </c>
      <c r="AB23" s="3331">
        <f>D23/H23</f>
        <v>1</v>
      </c>
      <c r="AC23" s="3331">
        <f>D23/J23</f>
        <v>1</v>
      </c>
    </row>
    <row r="24" spans="1:29" ht="14.25">
      <c r="A24" s="151"/>
      <c r="B24" s="1045"/>
      <c r="C24" s="97" t="s">
        <v>124</v>
      </c>
      <c r="D24" s="796"/>
      <c r="E24" s="99" t="s">
        <v>124</v>
      </c>
      <c r="F24" s="796"/>
      <c r="G24" s="98" t="s">
        <v>124</v>
      </c>
      <c r="H24" s="796"/>
      <c r="I24" s="98" t="s">
        <v>124</v>
      </c>
      <c r="J24" s="796"/>
      <c r="K24" s="159"/>
      <c r="L24" s="2328"/>
      <c r="M24" s="2323"/>
      <c r="N24" s="2323"/>
      <c r="O24" s="2323"/>
      <c r="P24" s="3707"/>
      <c r="Q24" s="3330"/>
      <c r="R24" s="1356"/>
      <c r="S24" s="1357"/>
      <c r="T24" s="1356"/>
      <c r="U24" s="1357"/>
      <c r="V24" s="1356"/>
      <c r="W24" s="1357"/>
      <c r="X24" s="3332"/>
      <c r="Y24" s="3700"/>
      <c r="Z24" s="3333"/>
      <c r="AA24" s="3331">
        <v>1</v>
      </c>
      <c r="AB24" s="3331">
        <v>1</v>
      </c>
      <c r="AC24" s="3331">
        <v>1</v>
      </c>
    </row>
    <row r="25" spans="1:29" ht="15" hidden="1">
      <c r="A25" s="151"/>
      <c r="B25" s="3329" t="s">
        <v>2662</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8"/>
      <c r="M25" s="2323"/>
      <c r="N25" s="2323"/>
      <c r="O25" s="2323"/>
      <c r="P25" s="3707"/>
      <c r="Q25" s="3330" t="str">
        <f t="shared" ref="Q25:Q46" si="11">B25</f>
        <v>楼层-1</v>
      </c>
      <c r="R25" s="1356" t="s">
        <v>70</v>
      </c>
      <c r="S25" s="1357">
        <f t="shared" ref="S25:S46" si="12">F25</f>
        <v>100</v>
      </c>
      <c r="T25" s="1356" t="s">
        <v>70</v>
      </c>
      <c r="U25" s="1357">
        <f t="shared" ref="U25:U46" si="13">H25</f>
        <v>100</v>
      </c>
      <c r="V25" s="1356" t="s">
        <v>70</v>
      </c>
      <c r="W25" s="1357">
        <f t="shared" ref="W25:W46" si="14">J25</f>
        <v>100</v>
      </c>
      <c r="X25" s="3332"/>
      <c r="Y25" s="3700"/>
      <c r="Z25" s="3333" t="str">
        <f>Q25</f>
        <v>楼层-1</v>
      </c>
      <c r="AA25" s="3331">
        <f t="shared" ref="AA25:AA46" si="15">D25/F25</f>
        <v>1</v>
      </c>
      <c r="AB25" s="3331">
        <f t="shared" ref="AB25:AB46" si="16">D25/H25</f>
        <v>1</v>
      </c>
      <c r="AC25" s="3331">
        <f t="shared" ref="AC25:AC46" si="17">D25/J25</f>
        <v>1</v>
      </c>
    </row>
    <row r="26" spans="1:29" ht="15" hidden="1">
      <c r="A26" s="151"/>
      <c r="B26" s="3329" t="s">
        <v>79</v>
      </c>
      <c r="C26" s="107" t="s">
        <v>3461</v>
      </c>
      <c r="D26" s="783">
        <v>100</v>
      </c>
      <c r="E26" s="109" t="s">
        <v>314</v>
      </c>
      <c r="F26" s="783">
        <f>SUMIF(88:88,E26,89:89)-SUMIF(88:88,C26,89:89)+100</f>
        <v>100</v>
      </c>
      <c r="G26" s="108" t="s">
        <v>314</v>
      </c>
      <c r="H26" s="783">
        <f>SUMIF(88:88,G26,89:89)-SUMIF(88:88,C26,89:89)+100</f>
        <v>100</v>
      </c>
      <c r="I26" s="108" t="s">
        <v>314</v>
      </c>
      <c r="J26" s="783">
        <f>SUMIF(88:88,I26,89:89)-SUMIF(88:88,C26,89:89)+100</f>
        <v>100</v>
      </c>
      <c r="K26" s="774">
        <v>0</v>
      </c>
      <c r="L26" s="2328"/>
      <c r="M26" s="2323"/>
      <c r="N26" s="2323"/>
      <c r="O26" s="2323"/>
      <c r="P26" s="3707"/>
      <c r="Q26" s="3330" t="str">
        <f t="shared" si="11"/>
        <v>朝向</v>
      </c>
      <c r="R26" s="1356" t="s">
        <v>70</v>
      </c>
      <c r="S26" s="1357">
        <f t="shared" si="12"/>
        <v>100</v>
      </c>
      <c r="T26" s="1356" t="s">
        <v>70</v>
      </c>
      <c r="U26" s="1357">
        <f t="shared" si="13"/>
        <v>100</v>
      </c>
      <c r="V26" s="1356" t="s">
        <v>70</v>
      </c>
      <c r="W26" s="1357">
        <f t="shared" si="14"/>
        <v>100</v>
      </c>
      <c r="X26" s="3332"/>
      <c r="Y26" s="3700"/>
      <c r="Z26" s="3333" t="str">
        <f>Q26</f>
        <v>朝向</v>
      </c>
      <c r="AA26" s="3331">
        <f t="shared" si="15"/>
        <v>1</v>
      </c>
      <c r="AB26" s="3331">
        <f t="shared" si="16"/>
        <v>1</v>
      </c>
      <c r="AC26" s="3331">
        <f t="shared" si="17"/>
        <v>1</v>
      </c>
    </row>
    <row r="27" spans="1:29" s="40" customFormat="1" ht="15" thickBot="1">
      <c r="A27" s="1034"/>
      <c r="B27" s="1035" t="s">
        <v>1236</v>
      </c>
      <c r="C27" s="1028" t="s">
        <v>1237</v>
      </c>
      <c r="D27" s="810">
        <v>100</v>
      </c>
      <c r="E27" s="1030" t="s">
        <v>1237</v>
      </c>
      <c r="F27" s="810">
        <f>SUMIF(90:90,E27,91:91)-SUMIF(90:90,C27,91:91)+100</f>
        <v>100</v>
      </c>
      <c r="G27" s="1028" t="s">
        <v>1237</v>
      </c>
      <c r="H27" s="810">
        <f>SUMIF(90:90,G27,91:91)-SUMIF(90:90,C27,91:91)+100</f>
        <v>100</v>
      </c>
      <c r="I27" s="1028" t="s">
        <v>1237</v>
      </c>
      <c r="J27" s="810">
        <f>SUMIF(90:90,I27,91:91)-SUMIF(90:90,C27,91:91)+100</f>
        <v>100</v>
      </c>
      <c r="K27" s="153"/>
      <c r="L27" s="2324"/>
      <c r="M27" s="2286"/>
      <c r="N27" s="2286"/>
      <c r="O27" s="2286"/>
      <c r="P27" s="3707"/>
      <c r="Q27" s="3327" t="str">
        <f t="shared" si="11"/>
        <v>道路级别</v>
      </c>
      <c r="R27" s="1346" t="s">
        <v>70</v>
      </c>
      <c r="S27" s="1347">
        <f t="shared" si="12"/>
        <v>100</v>
      </c>
      <c r="T27" s="1346" t="s">
        <v>70</v>
      </c>
      <c r="U27" s="1347">
        <f t="shared" si="13"/>
        <v>100</v>
      </c>
      <c r="V27" s="1346" t="s">
        <v>70</v>
      </c>
      <c r="W27" s="1347">
        <f t="shared" si="14"/>
        <v>100</v>
      </c>
      <c r="X27" s="293"/>
      <c r="Y27" s="3700"/>
      <c r="Z27" s="3328" t="str">
        <f>Q27</f>
        <v>道路级别</v>
      </c>
      <c r="AA27" s="3331">
        <f t="shared" si="15"/>
        <v>1</v>
      </c>
      <c r="AB27" s="3331">
        <f t="shared" si="16"/>
        <v>1</v>
      </c>
      <c r="AC27" s="3331">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8"/>
      <c r="M28" s="2323"/>
      <c r="N28" s="2323"/>
      <c r="O28" s="2323"/>
      <c r="P28" s="3707"/>
      <c r="Q28" s="3330">
        <f t="shared" si="11"/>
        <v>111</v>
      </c>
      <c r="R28" s="1356" t="s">
        <v>70</v>
      </c>
      <c r="S28" s="1357">
        <f t="shared" si="12"/>
        <v>100</v>
      </c>
      <c r="T28" s="1356" t="s">
        <v>70</v>
      </c>
      <c r="U28" s="1357">
        <f t="shared" si="13"/>
        <v>100</v>
      </c>
      <c r="V28" s="1356" t="s">
        <v>70</v>
      </c>
      <c r="W28" s="1357">
        <f t="shared" si="14"/>
        <v>100</v>
      </c>
      <c r="X28" s="3332"/>
      <c r="Y28" s="3700"/>
      <c r="Z28" s="3333">
        <f t="shared" ref="Z28:Z46" si="18">Q28</f>
        <v>111</v>
      </c>
      <c r="AA28" s="3331">
        <f t="shared" si="15"/>
        <v>1</v>
      </c>
      <c r="AB28" s="3331">
        <f t="shared" si="16"/>
        <v>1</v>
      </c>
      <c r="AC28" s="3331">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8"/>
      <c r="M29" s="2323"/>
      <c r="N29" s="2323"/>
      <c r="O29" s="2323"/>
      <c r="P29" s="3707"/>
      <c r="Q29" s="3330">
        <f t="shared" si="11"/>
        <v>111</v>
      </c>
      <c r="R29" s="1356" t="s">
        <v>70</v>
      </c>
      <c r="S29" s="1357">
        <f t="shared" si="12"/>
        <v>100</v>
      </c>
      <c r="T29" s="1356" t="s">
        <v>70</v>
      </c>
      <c r="U29" s="1357">
        <f t="shared" si="13"/>
        <v>100</v>
      </c>
      <c r="V29" s="1356" t="s">
        <v>70</v>
      </c>
      <c r="W29" s="1357">
        <f t="shared" si="14"/>
        <v>100</v>
      </c>
      <c r="X29" s="3332"/>
      <c r="Y29" s="3700"/>
      <c r="Z29" s="3333">
        <f t="shared" si="18"/>
        <v>111</v>
      </c>
      <c r="AA29" s="3331">
        <f t="shared" si="15"/>
        <v>1</v>
      </c>
      <c r="AB29" s="3331">
        <f t="shared" si="16"/>
        <v>1</v>
      </c>
      <c r="AC29" s="3331">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8"/>
      <c r="M30" s="2323"/>
      <c r="N30" s="2323"/>
      <c r="O30" s="2323"/>
      <c r="P30" s="3707"/>
      <c r="Q30" s="3330">
        <f t="shared" si="11"/>
        <v>111</v>
      </c>
      <c r="R30" s="1356" t="s">
        <v>70</v>
      </c>
      <c r="S30" s="1357">
        <f t="shared" si="12"/>
        <v>100</v>
      </c>
      <c r="T30" s="1356" t="s">
        <v>70</v>
      </c>
      <c r="U30" s="1357">
        <f t="shared" si="13"/>
        <v>100</v>
      </c>
      <c r="V30" s="1356" t="s">
        <v>70</v>
      </c>
      <c r="W30" s="1357">
        <f t="shared" si="14"/>
        <v>100</v>
      </c>
      <c r="X30" s="3332"/>
      <c r="Y30" s="3700"/>
      <c r="Z30" s="3333">
        <f t="shared" si="18"/>
        <v>111</v>
      </c>
      <c r="AA30" s="3331">
        <f t="shared" si="15"/>
        <v>1</v>
      </c>
      <c r="AB30" s="3331">
        <f t="shared" si="16"/>
        <v>1</v>
      </c>
      <c r="AC30" s="3331">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8"/>
      <c r="M31" s="2323"/>
      <c r="N31" s="2323"/>
      <c r="O31" s="2323"/>
      <c r="P31" s="3707"/>
      <c r="Q31" s="3330">
        <f t="shared" si="11"/>
        <v>111</v>
      </c>
      <c r="R31" s="1356" t="s">
        <v>70</v>
      </c>
      <c r="S31" s="1357">
        <f t="shared" si="12"/>
        <v>100</v>
      </c>
      <c r="T31" s="1356" t="s">
        <v>70</v>
      </c>
      <c r="U31" s="1357">
        <f t="shared" si="13"/>
        <v>100</v>
      </c>
      <c r="V31" s="1356" t="s">
        <v>70</v>
      </c>
      <c r="W31" s="1357">
        <f t="shared" si="14"/>
        <v>100</v>
      </c>
      <c r="X31" s="3332"/>
      <c r="Y31" s="3700"/>
      <c r="Z31" s="3333">
        <f t="shared" si="18"/>
        <v>111</v>
      </c>
      <c r="AA31" s="3331">
        <f t="shared" si="15"/>
        <v>1</v>
      </c>
      <c r="AB31" s="3331">
        <f t="shared" si="16"/>
        <v>1</v>
      </c>
      <c r="AC31" s="3331">
        <f t="shared" si="17"/>
        <v>1</v>
      </c>
    </row>
    <row r="32" spans="1:29" ht="15">
      <c r="A32" s="155" t="s">
        <v>75</v>
      </c>
      <c r="B32" s="62" t="s">
        <v>80</v>
      </c>
      <c r="C32" s="110" t="s">
        <v>3463</v>
      </c>
      <c r="D32" s="814">
        <v>100</v>
      </c>
      <c r="E32" s="111" t="s">
        <v>3463</v>
      </c>
      <c r="F32" s="809">
        <f>SUMIF(100:100,E32,101:101)-SUMIF(100:100,C32,101:101)+100</f>
        <v>100</v>
      </c>
      <c r="G32" s="110" t="s">
        <v>3463</v>
      </c>
      <c r="H32" s="814">
        <f>SUMIF(100:100,G32,101:101)-SUMIF(100:100,C32,101:101)+100</f>
        <v>100</v>
      </c>
      <c r="I32" s="111" t="s">
        <v>3463</v>
      </c>
      <c r="J32" s="783">
        <f>SUMIF(100:100,I32,101:101)-SUMIF(100:100,C32,101:101)+100</f>
        <v>100</v>
      </c>
      <c r="K32" s="774">
        <v>15</v>
      </c>
      <c r="L32" s="2328"/>
      <c r="M32" s="2323"/>
      <c r="N32" s="2323"/>
      <c r="O32" s="2323"/>
      <c r="P32" s="3701" t="s">
        <v>75</v>
      </c>
      <c r="Q32" s="3330" t="str">
        <f t="shared" si="11"/>
        <v>建筑类型</v>
      </c>
      <c r="R32" s="1356" t="s">
        <v>70</v>
      </c>
      <c r="S32" s="1357">
        <f t="shared" si="12"/>
        <v>100</v>
      </c>
      <c r="T32" s="1356" t="s">
        <v>70</v>
      </c>
      <c r="U32" s="1357">
        <f t="shared" si="13"/>
        <v>100</v>
      </c>
      <c r="V32" s="1356" t="s">
        <v>70</v>
      </c>
      <c r="W32" s="1357">
        <f t="shared" si="14"/>
        <v>100</v>
      </c>
      <c r="X32" s="3332"/>
      <c r="Y32" s="3704" t="s">
        <v>75</v>
      </c>
      <c r="Z32" s="3333" t="str">
        <f t="shared" si="18"/>
        <v>建筑类型</v>
      </c>
      <c r="AA32" s="3331">
        <f t="shared" si="15"/>
        <v>1</v>
      </c>
      <c r="AB32" s="3331">
        <f t="shared" si="16"/>
        <v>1</v>
      </c>
      <c r="AC32" s="3331">
        <f t="shared" si="17"/>
        <v>1</v>
      </c>
    </row>
    <row r="33" spans="1:29" s="1044" customFormat="1" ht="14.25">
      <c r="A33" s="1048"/>
      <c r="B33" s="3329" t="s">
        <v>81</v>
      </c>
      <c r="C33" s="816">
        <f>'数据-基础表'!B3</f>
        <v>508521.72</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7"/>
      <c r="M33" s="2329"/>
      <c r="N33" s="2329"/>
      <c r="O33" s="2329"/>
      <c r="P33" s="3702"/>
      <c r="Q33" s="1363" t="str">
        <f t="shared" si="11"/>
        <v>项目建筑规模</v>
      </c>
      <c r="R33" s="1364" t="s">
        <v>70</v>
      </c>
      <c r="S33" s="1365">
        <f t="shared" si="12"/>
        <v>100</v>
      </c>
      <c r="T33" s="1364" t="s">
        <v>70</v>
      </c>
      <c r="U33" s="1365">
        <f t="shared" si="13"/>
        <v>98</v>
      </c>
      <c r="V33" s="1364" t="s">
        <v>70</v>
      </c>
      <c r="W33" s="1365">
        <f t="shared" si="14"/>
        <v>100</v>
      </c>
      <c r="X33" s="1366"/>
      <c r="Y33" s="3704"/>
      <c r="Z33" s="1367" t="str">
        <f t="shared" si="18"/>
        <v>项目建筑规模</v>
      </c>
      <c r="AA33" s="3331">
        <f t="shared" si="15"/>
        <v>1</v>
      </c>
      <c r="AB33" s="3331">
        <f t="shared" si="16"/>
        <v>1.0204081632653061</v>
      </c>
      <c r="AC33" s="3331">
        <f t="shared" si="17"/>
        <v>1</v>
      </c>
    </row>
    <row r="34" spans="1:29" ht="15">
      <c r="A34" s="161"/>
      <c r="B34" s="3329"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8"/>
      <c r="M34" s="2323"/>
      <c r="N34" s="2323"/>
      <c r="O34" s="2323"/>
      <c r="P34" s="3702"/>
      <c r="Q34" s="3330" t="str">
        <f t="shared" si="11"/>
        <v>建筑结构</v>
      </c>
      <c r="R34" s="1356" t="s">
        <v>70</v>
      </c>
      <c r="S34" s="1357">
        <f t="shared" si="12"/>
        <v>100</v>
      </c>
      <c r="T34" s="1356" t="s">
        <v>70</v>
      </c>
      <c r="U34" s="1357">
        <f t="shared" si="13"/>
        <v>100</v>
      </c>
      <c r="V34" s="1356" t="s">
        <v>70</v>
      </c>
      <c r="W34" s="1357">
        <f t="shared" si="14"/>
        <v>100</v>
      </c>
      <c r="X34" s="3332"/>
      <c r="Y34" s="3704"/>
      <c r="Z34" s="3333" t="str">
        <f t="shared" si="18"/>
        <v>建筑结构</v>
      </c>
      <c r="AA34" s="3331">
        <f t="shared" si="15"/>
        <v>1</v>
      </c>
      <c r="AB34" s="3331">
        <f t="shared" si="16"/>
        <v>1</v>
      </c>
      <c r="AC34" s="3331">
        <f t="shared" si="17"/>
        <v>1</v>
      </c>
    </row>
    <row r="35" spans="1:29" ht="15">
      <c r="A35" s="161"/>
      <c r="B35" s="3329" t="s">
        <v>83</v>
      </c>
      <c r="C35" s="109" t="s">
        <v>2794</v>
      </c>
      <c r="D35" s="783">
        <v>100</v>
      </c>
      <c r="E35" s="108" t="s">
        <v>2794</v>
      </c>
      <c r="F35" s="809">
        <f>SUMIF(107:107,E35,108:108)-SUMIF(107:107,C35,108:108)+100</f>
        <v>100</v>
      </c>
      <c r="G35" s="109" t="s">
        <v>2794</v>
      </c>
      <c r="H35" s="783">
        <f>SUMIF(107:107,G35,108:108)-SUMIF(107:107,C35,108:108)+100</f>
        <v>100</v>
      </c>
      <c r="I35" s="108" t="s">
        <v>2794</v>
      </c>
      <c r="J35" s="783">
        <f>SUMIF(107:107,I35,108:108)-SUMIF(107:107,C35,108:108)+100</f>
        <v>100</v>
      </c>
      <c r="K35" s="774">
        <v>5</v>
      </c>
      <c r="L35" s="2328"/>
      <c r="M35" s="2323"/>
      <c r="N35" s="2323"/>
      <c r="O35" s="2323"/>
      <c r="P35" s="3702"/>
      <c r="Q35" s="3330" t="str">
        <f t="shared" si="11"/>
        <v>建筑品质</v>
      </c>
      <c r="R35" s="1356" t="s">
        <v>70</v>
      </c>
      <c r="S35" s="1357">
        <f t="shared" si="12"/>
        <v>100</v>
      </c>
      <c r="T35" s="1356" t="s">
        <v>70</v>
      </c>
      <c r="U35" s="1357">
        <f t="shared" si="13"/>
        <v>100</v>
      </c>
      <c r="V35" s="1356" t="s">
        <v>70</v>
      </c>
      <c r="W35" s="1357">
        <f t="shared" si="14"/>
        <v>100</v>
      </c>
      <c r="X35" s="3332"/>
      <c r="Y35" s="3704"/>
      <c r="Z35" s="3333" t="str">
        <f t="shared" si="18"/>
        <v>建筑品质</v>
      </c>
      <c r="AA35" s="3331">
        <f t="shared" si="15"/>
        <v>1</v>
      </c>
      <c r="AB35" s="3331">
        <f t="shared" si="16"/>
        <v>1</v>
      </c>
      <c r="AC35" s="3331">
        <f t="shared" si="17"/>
        <v>1</v>
      </c>
    </row>
    <row r="36" spans="1:29" ht="15">
      <c r="A36" s="161"/>
      <c r="B36" s="3329"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8"/>
      <c r="M36" s="2323"/>
      <c r="N36" s="2323"/>
      <c r="O36" s="2323"/>
      <c r="P36" s="3702"/>
      <c r="Q36" s="3330" t="str">
        <f t="shared" si="11"/>
        <v>公共部分装修</v>
      </c>
      <c r="R36" s="1356" t="s">
        <v>70</v>
      </c>
      <c r="S36" s="1357">
        <f t="shared" si="12"/>
        <v>100</v>
      </c>
      <c r="T36" s="1356" t="s">
        <v>70</v>
      </c>
      <c r="U36" s="1357">
        <f t="shared" si="13"/>
        <v>100</v>
      </c>
      <c r="V36" s="1356" t="s">
        <v>70</v>
      </c>
      <c r="W36" s="1357">
        <f t="shared" si="14"/>
        <v>100</v>
      </c>
      <c r="X36" s="3332"/>
      <c r="Y36" s="3704"/>
      <c r="Z36" s="3333" t="str">
        <f t="shared" si="18"/>
        <v>公共部分装修</v>
      </c>
      <c r="AA36" s="3331">
        <f t="shared" si="15"/>
        <v>1</v>
      </c>
      <c r="AB36" s="3331">
        <f t="shared" si="16"/>
        <v>1</v>
      </c>
      <c r="AC36" s="3331">
        <f t="shared" si="17"/>
        <v>1</v>
      </c>
    </row>
    <row r="37" spans="1:29" s="40" customFormat="1" ht="15">
      <c r="A37" s="1046"/>
      <c r="B37" s="3329"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4"/>
      <c r="M37" s="2286"/>
      <c r="N37" s="2286"/>
      <c r="O37" s="2286"/>
      <c r="P37" s="3702"/>
      <c r="Q37" s="3327" t="str">
        <f t="shared" si="11"/>
        <v>成新度</v>
      </c>
      <c r="R37" s="1346" t="s">
        <v>70</v>
      </c>
      <c r="S37" s="1347">
        <f t="shared" si="12"/>
        <v>100</v>
      </c>
      <c r="T37" s="1346" t="s">
        <v>70</v>
      </c>
      <c r="U37" s="1347">
        <f t="shared" si="13"/>
        <v>100</v>
      </c>
      <c r="V37" s="1346" t="s">
        <v>70</v>
      </c>
      <c r="W37" s="1347">
        <f t="shared" si="14"/>
        <v>100</v>
      </c>
      <c r="X37" s="293"/>
      <c r="Y37" s="3704"/>
      <c r="Z37" s="3328" t="str">
        <f t="shared" si="18"/>
        <v>成新度</v>
      </c>
      <c r="AA37" s="1348">
        <f t="shared" si="15"/>
        <v>1</v>
      </c>
      <c r="AB37" s="1348">
        <f t="shared" si="16"/>
        <v>1</v>
      </c>
      <c r="AC37" s="1348">
        <f t="shared" si="17"/>
        <v>1</v>
      </c>
    </row>
    <row r="38" spans="1:29" ht="15">
      <c r="A38" s="161"/>
      <c r="B38" s="3329"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8"/>
      <c r="M38" s="2323"/>
      <c r="N38" s="2323"/>
      <c r="O38" s="2323"/>
      <c r="P38" s="3702" t="s">
        <v>75</v>
      </c>
      <c r="Q38" s="3330" t="str">
        <f t="shared" si="11"/>
        <v>物业管理</v>
      </c>
      <c r="R38" s="1356" t="s">
        <v>70</v>
      </c>
      <c r="S38" s="1357">
        <f t="shared" si="12"/>
        <v>100</v>
      </c>
      <c r="T38" s="1356" t="s">
        <v>70</v>
      </c>
      <c r="U38" s="1357">
        <f t="shared" si="13"/>
        <v>100</v>
      </c>
      <c r="V38" s="1356" t="s">
        <v>70</v>
      </c>
      <c r="W38" s="1357">
        <f t="shared" si="14"/>
        <v>100</v>
      </c>
      <c r="X38" s="3332"/>
      <c r="Y38" s="3704" t="s">
        <v>75</v>
      </c>
      <c r="Z38" s="3333" t="str">
        <f t="shared" si="18"/>
        <v>物业管理</v>
      </c>
      <c r="AA38" s="3331">
        <f t="shared" si="15"/>
        <v>1</v>
      </c>
      <c r="AB38" s="3331">
        <f t="shared" si="16"/>
        <v>1</v>
      </c>
      <c r="AC38" s="3331">
        <f t="shared" si="17"/>
        <v>1</v>
      </c>
    </row>
    <row r="39" spans="1:29" ht="15">
      <c r="A39" s="161"/>
      <c r="B39" s="3329" t="s">
        <v>3045</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8"/>
      <c r="M39" s="2323"/>
      <c r="N39" s="2323"/>
      <c r="O39" s="2323"/>
      <c r="P39" s="3702"/>
      <c r="Q39" s="3330" t="str">
        <f t="shared" si="11"/>
        <v>市政基础设施</v>
      </c>
      <c r="R39" s="1356" t="s">
        <v>70</v>
      </c>
      <c r="S39" s="1357">
        <f t="shared" si="12"/>
        <v>100</v>
      </c>
      <c r="T39" s="1356" t="s">
        <v>70</v>
      </c>
      <c r="U39" s="1357">
        <f t="shared" si="13"/>
        <v>100</v>
      </c>
      <c r="V39" s="1356" t="s">
        <v>70</v>
      </c>
      <c r="W39" s="1357">
        <f t="shared" si="14"/>
        <v>100</v>
      </c>
      <c r="X39" s="3332"/>
      <c r="Y39" s="3704"/>
      <c r="Z39" s="3333" t="str">
        <f t="shared" si="18"/>
        <v>市政基础设施</v>
      </c>
      <c r="AA39" s="3331">
        <f t="shared" si="15"/>
        <v>1</v>
      </c>
      <c r="AB39" s="3331">
        <f t="shared" si="16"/>
        <v>1</v>
      </c>
      <c r="AC39" s="3331">
        <f t="shared" si="17"/>
        <v>1</v>
      </c>
    </row>
    <row r="40" spans="1:29" ht="15">
      <c r="A40" s="161"/>
      <c r="B40" s="3329"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8"/>
      <c r="M40" s="2323"/>
      <c r="N40" s="2323"/>
      <c r="O40" s="2323"/>
      <c r="P40" s="3702"/>
      <c r="Q40" s="3330" t="str">
        <f t="shared" si="11"/>
        <v>房型</v>
      </c>
      <c r="R40" s="1356" t="s">
        <v>70</v>
      </c>
      <c r="S40" s="1357">
        <f t="shared" si="12"/>
        <v>100</v>
      </c>
      <c r="T40" s="1356" t="s">
        <v>70</v>
      </c>
      <c r="U40" s="1357">
        <f t="shared" si="13"/>
        <v>100</v>
      </c>
      <c r="V40" s="1356" t="s">
        <v>70</v>
      </c>
      <c r="W40" s="1357">
        <f t="shared" si="14"/>
        <v>100</v>
      </c>
      <c r="X40" s="3332"/>
      <c r="Y40" s="3704"/>
      <c r="Z40" s="3333" t="str">
        <f t="shared" si="18"/>
        <v>房型</v>
      </c>
      <c r="AA40" s="3331">
        <f t="shared" si="15"/>
        <v>1</v>
      </c>
      <c r="AB40" s="3331">
        <f t="shared" si="16"/>
        <v>1</v>
      </c>
      <c r="AC40" s="3331">
        <f t="shared" si="17"/>
        <v>1</v>
      </c>
    </row>
    <row r="41" spans="1:29" s="1044" customFormat="1" ht="27">
      <c r="A41" s="1048"/>
      <c r="B41" s="3329"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7"/>
      <c r="M41" s="2329"/>
      <c r="N41" s="2329"/>
      <c r="O41" s="2329"/>
      <c r="P41" s="3702"/>
      <c r="Q41" s="1363" t="str">
        <f t="shared" si="11"/>
        <v>单套/主力户型建筑面积</v>
      </c>
      <c r="R41" s="1364" t="s">
        <v>70</v>
      </c>
      <c r="S41" s="1365">
        <f t="shared" si="12"/>
        <v>100</v>
      </c>
      <c r="T41" s="1364" t="s">
        <v>70</v>
      </c>
      <c r="U41" s="1365">
        <f t="shared" si="13"/>
        <v>100</v>
      </c>
      <c r="V41" s="1364" t="s">
        <v>70</v>
      </c>
      <c r="W41" s="1365">
        <f t="shared" si="14"/>
        <v>100</v>
      </c>
      <c r="X41" s="1366"/>
      <c r="Y41" s="3704"/>
      <c r="Z41" s="1367" t="str">
        <f t="shared" si="18"/>
        <v>单套/主力户型建筑面积</v>
      </c>
      <c r="AA41" s="3331">
        <f t="shared" si="15"/>
        <v>1</v>
      </c>
      <c r="AB41" s="3331">
        <f t="shared" si="16"/>
        <v>1</v>
      </c>
      <c r="AC41" s="3331">
        <f t="shared" si="17"/>
        <v>1</v>
      </c>
    </row>
    <row r="42" spans="1:29" ht="15.75" thickBot="1">
      <c r="A42" s="161"/>
      <c r="B42" s="3329"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8"/>
      <c r="M42" s="2323"/>
      <c r="N42" s="2323"/>
      <c r="O42" s="2323"/>
      <c r="P42" s="3702"/>
      <c r="Q42" s="3330" t="str">
        <f t="shared" si="11"/>
        <v>内部装修</v>
      </c>
      <c r="R42" s="1356" t="s">
        <v>70</v>
      </c>
      <c r="S42" s="1357">
        <f t="shared" si="12"/>
        <v>100</v>
      </c>
      <c r="T42" s="1356" t="s">
        <v>70</v>
      </c>
      <c r="U42" s="1357">
        <f t="shared" si="13"/>
        <v>100</v>
      </c>
      <c r="V42" s="1356" t="s">
        <v>70</v>
      </c>
      <c r="W42" s="1357">
        <f t="shared" si="14"/>
        <v>100</v>
      </c>
      <c r="X42" s="3332"/>
      <c r="Y42" s="3704"/>
      <c r="Z42" s="3333" t="str">
        <f t="shared" si="18"/>
        <v>内部装修</v>
      </c>
      <c r="AA42" s="3331">
        <f t="shared" si="15"/>
        <v>1</v>
      </c>
      <c r="AB42" s="3331">
        <f t="shared" si="16"/>
        <v>1</v>
      </c>
      <c r="AC42" s="3331">
        <f t="shared" si="17"/>
        <v>1</v>
      </c>
    </row>
    <row r="43" spans="1:29" ht="27.75" hidden="1" thickBot="1">
      <c r="A43" s="161"/>
      <c r="B43" s="3329"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8"/>
      <c r="M43" s="2323"/>
      <c r="N43" s="2323"/>
      <c r="O43" s="2323"/>
      <c r="P43" s="3702"/>
      <c r="Q43" s="3330" t="str">
        <f t="shared" si="11"/>
        <v>内部装修维护情况</v>
      </c>
      <c r="R43" s="1356" t="s">
        <v>70</v>
      </c>
      <c r="S43" s="1357">
        <f t="shared" si="12"/>
        <v>100</v>
      </c>
      <c r="T43" s="1356" t="s">
        <v>70</v>
      </c>
      <c r="U43" s="1357">
        <f t="shared" si="13"/>
        <v>100</v>
      </c>
      <c r="V43" s="1356" t="s">
        <v>70</v>
      </c>
      <c r="W43" s="1357">
        <f t="shared" si="14"/>
        <v>100</v>
      </c>
      <c r="X43" s="3332"/>
      <c r="Y43" s="3704"/>
      <c r="Z43" s="3333" t="str">
        <f t="shared" si="18"/>
        <v>内部装修维护情况</v>
      </c>
      <c r="AA43" s="3331">
        <f t="shared" si="15"/>
        <v>1</v>
      </c>
      <c r="AB43" s="3331">
        <f t="shared" si="16"/>
        <v>1</v>
      </c>
      <c r="AC43" s="3331">
        <f t="shared" si="17"/>
        <v>1</v>
      </c>
    </row>
    <row r="44" spans="1:29" s="40" customFormat="1" ht="15" hidden="1" thickBot="1">
      <c r="A44" s="1046"/>
      <c r="B44" s="1361">
        <v>111</v>
      </c>
      <c r="C44" s="1362" t="s">
        <v>322</v>
      </c>
      <c r="D44" s="430">
        <v>100</v>
      </c>
      <c r="E44" s="1362" t="s">
        <v>322</v>
      </c>
      <c r="F44" s="773">
        <f>SUMIF(126:126,E44,127:127)-SUMIF(126:126,C44,127:127)+100</f>
        <v>100</v>
      </c>
      <c r="G44" s="1362" t="s">
        <v>322</v>
      </c>
      <c r="H44" s="430">
        <f>SUMIF(126:126,G44,127:127)-SUMIF(126:126,C44,127:127)+100</f>
        <v>100</v>
      </c>
      <c r="I44" s="1362" t="s">
        <v>322</v>
      </c>
      <c r="J44" s="430">
        <f>SUMIF(126:126,I44,127:127)-SUMIF(126:126,C44,127:127)+100</f>
        <v>100</v>
      </c>
      <c r="K44" s="153"/>
      <c r="L44" s="2324"/>
      <c r="M44" s="2286"/>
      <c r="N44" s="2286"/>
      <c r="O44" s="2286"/>
      <c r="P44" s="3702"/>
      <c r="Q44" s="3327">
        <f t="shared" si="11"/>
        <v>111</v>
      </c>
      <c r="R44" s="1346" t="s">
        <v>70</v>
      </c>
      <c r="S44" s="1347">
        <f t="shared" si="12"/>
        <v>100</v>
      </c>
      <c r="T44" s="1346" t="s">
        <v>70</v>
      </c>
      <c r="U44" s="1347">
        <f t="shared" si="13"/>
        <v>100</v>
      </c>
      <c r="V44" s="1346" t="s">
        <v>70</v>
      </c>
      <c r="W44" s="1347">
        <f t="shared" si="14"/>
        <v>100</v>
      </c>
      <c r="X44" s="293"/>
      <c r="Y44" s="3704"/>
      <c r="Z44" s="3328">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8"/>
      <c r="M45" s="2323"/>
      <c r="N45" s="2323"/>
      <c r="O45" s="2323"/>
      <c r="P45" s="3702"/>
      <c r="Q45" s="3330">
        <f t="shared" si="11"/>
        <v>111</v>
      </c>
      <c r="R45" s="1356" t="s">
        <v>70</v>
      </c>
      <c r="S45" s="1357">
        <f t="shared" si="12"/>
        <v>100</v>
      </c>
      <c r="T45" s="1356" t="s">
        <v>70</v>
      </c>
      <c r="U45" s="1357">
        <f t="shared" si="13"/>
        <v>100</v>
      </c>
      <c r="V45" s="1356" t="s">
        <v>70</v>
      </c>
      <c r="W45" s="1357">
        <f t="shared" si="14"/>
        <v>100</v>
      </c>
      <c r="X45" s="3332"/>
      <c r="Y45" s="3704"/>
      <c r="Z45" s="3333">
        <f t="shared" si="18"/>
        <v>111</v>
      </c>
      <c r="AA45" s="3331">
        <f t="shared" si="15"/>
        <v>1</v>
      </c>
      <c r="AB45" s="3331">
        <f t="shared" si="16"/>
        <v>1</v>
      </c>
      <c r="AC45" s="3331">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8"/>
      <c r="M46" s="2323"/>
      <c r="N46" s="2323"/>
      <c r="O46" s="2323"/>
      <c r="P46" s="3703"/>
      <c r="Q46" s="3330">
        <f t="shared" si="11"/>
        <v>111</v>
      </c>
      <c r="R46" s="1356" t="s">
        <v>70</v>
      </c>
      <c r="S46" s="1357">
        <f t="shared" si="12"/>
        <v>100</v>
      </c>
      <c r="T46" s="1356" t="s">
        <v>70</v>
      </c>
      <c r="U46" s="1357">
        <f t="shared" si="13"/>
        <v>100</v>
      </c>
      <c r="V46" s="1356" t="s">
        <v>70</v>
      </c>
      <c r="W46" s="1357">
        <f t="shared" si="14"/>
        <v>100</v>
      </c>
      <c r="X46" s="3332"/>
      <c r="Y46" s="3705"/>
      <c r="Z46" s="3333">
        <f t="shared" si="18"/>
        <v>111</v>
      </c>
      <c r="AA46" s="3331">
        <f t="shared" si="15"/>
        <v>1</v>
      </c>
      <c r="AB46" s="3331">
        <f t="shared" si="16"/>
        <v>1</v>
      </c>
      <c r="AC46" s="3331">
        <f t="shared" si="17"/>
        <v>1</v>
      </c>
    </row>
    <row r="47" spans="1:29" ht="15">
      <c r="A47" s="163" t="s">
        <v>118</v>
      </c>
      <c r="B47" s="164"/>
      <c r="C47" s="2872" t="s">
        <v>23</v>
      </c>
      <c r="D47" s="2873"/>
      <c r="E47" s="2874">
        <f>15500*0.98</f>
        <v>15190</v>
      </c>
      <c r="F47" s="2875"/>
      <c r="G47" s="2876">
        <f>15000*0.98</f>
        <v>14700</v>
      </c>
      <c r="H47" s="2877"/>
      <c r="I47" s="2874">
        <f>16500*0.98</f>
        <v>16170</v>
      </c>
      <c r="J47" s="2877"/>
      <c r="K47" s="1368"/>
      <c r="L47" s="2330"/>
      <c r="M47" s="2331"/>
      <c r="N47" s="2323"/>
      <c r="O47" s="2331"/>
      <c r="P47" s="3697" t="str">
        <f>A47</f>
        <v>成交单价（元/平方米）</v>
      </c>
      <c r="Q47" s="3697"/>
      <c r="R47" s="3698">
        <f>E47</f>
        <v>15190</v>
      </c>
      <c r="S47" s="3698"/>
      <c r="T47" s="3698">
        <f>G47</f>
        <v>14700</v>
      </c>
      <c r="U47" s="3698"/>
      <c r="V47" s="3698">
        <f>I47</f>
        <v>16170</v>
      </c>
      <c r="W47" s="3698"/>
      <c r="X47" s="1369"/>
      <c r="Y47" s="1370"/>
      <c r="Z47" s="1369"/>
      <c r="AA47" s="1369"/>
      <c r="AB47" s="1369"/>
      <c r="AC47" s="1369"/>
    </row>
    <row r="48" spans="1:29" ht="15.75" thickBot="1">
      <c r="A48" s="165" t="s">
        <v>116</v>
      </c>
      <c r="B48" s="166"/>
      <c r="C48" s="2878">
        <f>R49</f>
        <v>16113</v>
      </c>
      <c r="D48" s="2879"/>
      <c r="E48" s="2880">
        <f>R48</f>
        <v>15190</v>
      </c>
      <c r="F48" s="2880"/>
      <c r="G48" s="2878">
        <f>T48</f>
        <v>16113</v>
      </c>
      <c r="H48" s="2879"/>
      <c r="I48" s="2880">
        <f>V48</f>
        <v>17036</v>
      </c>
      <c r="J48" s="2879"/>
      <c r="K48" s="1371"/>
      <c r="L48" s="2330"/>
      <c r="M48" s="2331"/>
      <c r="N48" s="2331"/>
      <c r="O48" s="2331"/>
      <c r="P48" s="3697" t="str">
        <f>A48</f>
        <v>比较价值（元/平方米）</v>
      </c>
      <c r="Q48" s="3697"/>
      <c r="R48" s="3698">
        <f>IF(F1="售价",ROUND(PRODUCT(R47,AA7:AA46),0),ROUND(PRODUCT(R47,AA7:AA46),1))</f>
        <v>15190</v>
      </c>
      <c r="S48" s="3698"/>
      <c r="T48" s="3698">
        <f>IF(F1="售价",ROUND(PRODUCT(T47,AB7:AB46),0),ROUND(PRODUCT(T47,AB7:AB46),1))</f>
        <v>16113</v>
      </c>
      <c r="U48" s="3698"/>
      <c r="V48" s="3698">
        <f>IF(F1="售价",ROUND(PRODUCT(V47,AC7:AC46),0),ROUND(PRODUCT(V47,AC7:AC46),1))</f>
        <v>17036</v>
      </c>
      <c r="W48" s="3698"/>
      <c r="X48" s="1369"/>
      <c r="Y48" s="1369"/>
      <c r="Z48" s="1369"/>
      <c r="AA48" s="1369"/>
      <c r="AB48" s="1369"/>
      <c r="AC48" s="1369"/>
    </row>
    <row r="49" spans="1:29" ht="15.75" thickBot="1">
      <c r="A49" s="115" t="s">
        <v>115</v>
      </c>
      <c r="B49" s="116"/>
      <c r="C49" s="2881">
        <f>R49</f>
        <v>16113</v>
      </c>
      <c r="D49" s="2882"/>
      <c r="E49" s="2882"/>
      <c r="F49" s="2882"/>
      <c r="G49" s="2882"/>
      <c r="H49" s="2882"/>
      <c r="I49" s="2882"/>
      <c r="J49" s="2882"/>
      <c r="K49" s="1372"/>
      <c r="L49" s="2330"/>
      <c r="M49" s="2331"/>
      <c r="N49" s="2331"/>
      <c r="O49" s="2331"/>
      <c r="P49" s="3694" t="str">
        <f>A49</f>
        <v>估价对象XX用房的比较价值（楼面单价，元/平方米）</v>
      </c>
      <c r="Q49" s="3695"/>
      <c r="R49" s="3696">
        <f>IF(F1="售价",ROUND(AVERAGE(R48:V48),0),ROUND(AVERAGE(R48:V48),1))</f>
        <v>16113</v>
      </c>
      <c r="S49" s="3696"/>
      <c r="T49" s="3696"/>
      <c r="U49" s="3696"/>
      <c r="V49" s="3696"/>
      <c r="W49" s="3696"/>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4" t="s">
        <v>1242</v>
      </c>
      <c r="D52" s="845"/>
      <c r="E52" s="846">
        <f>IF(E47&lt;E48,E48/E47-1,E47/E48-1)</f>
        <v>0</v>
      </c>
      <c r="F52" s="847" t="str">
        <f>IF(OR(E52&gt;=0.3,E52&lt;=-0.3),"超过30%","")</f>
        <v/>
      </c>
      <c r="G52" s="846">
        <f>IF(G47&lt;G48,G48/G47-1,G47/G48-1)</f>
        <v>9.6122448979591768E-2</v>
      </c>
      <c r="H52" s="847" t="str">
        <f>IF(OR(G52&gt;=0.3,G52&lt;=-0.3),"超过30%","")</f>
        <v/>
      </c>
      <c r="I52" s="846">
        <f>IF(I47&lt;I48,I48/I47-1,I47/I48-1)</f>
        <v>5.3555967841682151E-2</v>
      </c>
      <c r="J52" s="847" t="str">
        <f>IF(OR(I52&gt;=0.3,I52&lt;=-0.3),"超过30%","")</f>
        <v/>
      </c>
      <c r="K52" s="2332"/>
      <c r="L52" s="2333"/>
      <c r="M52" s="2331"/>
      <c r="N52" s="2331"/>
      <c r="O52" s="2331"/>
    </row>
    <row r="53" spans="1:29" ht="13.5" customHeight="1">
      <c r="A53" s="2331"/>
      <c r="B53" s="2331"/>
      <c r="C53" s="844" t="s">
        <v>1243</v>
      </c>
      <c r="D53" s="848"/>
      <c r="E53" s="846">
        <f>IF(E48&lt;G48,G48/E48-1,E48/G48-1)</f>
        <v>6.0763660302830758E-2</v>
      </c>
      <c r="F53" s="847" t="str">
        <f>IF(OR(E53&gt;=0.2,E53&lt;=-0.2),"超过20%","")</f>
        <v/>
      </c>
      <c r="G53" s="846">
        <f>IF(G48&lt;I48,I48/G48-1,G48/I48-1)</f>
        <v>5.7282939241606101E-2</v>
      </c>
      <c r="H53" s="847" t="str">
        <f>IF(OR(G53&gt;=0.2,G53&lt;=-0.2),"超过20%","")</f>
        <v/>
      </c>
      <c r="I53" s="846">
        <f>IF(I48&lt;E48,E48/I48-1,I48/E48-1)</f>
        <v>0.12152732060566152</v>
      </c>
      <c r="J53" s="847" t="str">
        <f>IF(OR(I53&gt;=0.2,I53&lt;=-0.2),"超过20%","")</f>
        <v/>
      </c>
      <c r="K53" s="2332"/>
      <c r="L53" s="2333"/>
      <c r="M53" s="2331"/>
      <c r="N53" s="2331"/>
      <c r="O53" s="2331"/>
    </row>
    <row r="54" spans="1:29" s="119" customFormat="1" ht="13.5" customHeight="1">
      <c r="A54" s="2336"/>
      <c r="B54" s="2336"/>
      <c r="C54" s="844" t="s">
        <v>588</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4"/>
      <c r="L54" s="2335"/>
      <c r="M54" s="2336"/>
      <c r="N54" s="2336"/>
      <c r="O54" s="2336"/>
      <c r="P54" s="1375"/>
    </row>
    <row r="55" spans="1:29" s="119" customFormat="1">
      <c r="A55" s="2336"/>
      <c r="B55" s="2341"/>
      <c r="C55" s="2342"/>
      <c r="D55" s="2336"/>
      <c r="E55" s="2336"/>
      <c r="F55" s="2336"/>
      <c r="G55" s="2336"/>
      <c r="H55" s="2336"/>
      <c r="I55" s="2336"/>
      <c r="J55" s="2336"/>
      <c r="K55" s="2334"/>
      <c r="L55" s="2335"/>
      <c r="M55" s="2336"/>
      <c r="N55" s="2336"/>
      <c r="O55" s="2336"/>
      <c r="P55" s="1375"/>
    </row>
    <row r="56" spans="1:29">
      <c r="A56" s="2331"/>
      <c r="B56" s="2341"/>
      <c r="C56" s="2342"/>
      <c r="D56" s="2331"/>
      <c r="E56" s="2331"/>
      <c r="F56" s="2331"/>
      <c r="G56" s="2331"/>
      <c r="H56" s="2331"/>
      <c r="I56" s="2331"/>
      <c r="J56" s="2331"/>
      <c r="K56" s="2332"/>
      <c r="L56" s="2333"/>
      <c r="M56" s="2331"/>
      <c r="N56" s="2331"/>
      <c r="O56" s="2331"/>
    </row>
    <row r="57" spans="1:29" ht="21" thickBot="1">
      <c r="A57" s="1376" t="s">
        <v>188</v>
      </c>
      <c r="B57" s="1369"/>
      <c r="C57" s="1377"/>
      <c r="D57" s="1377"/>
      <c r="E57" s="1377"/>
      <c r="F57" s="1378"/>
      <c r="G57" s="1378"/>
      <c r="H57" s="1377"/>
      <c r="I57" s="1377"/>
      <c r="J57" s="1377"/>
      <c r="K57" s="2337"/>
      <c r="L57" s="2338"/>
      <c r="M57" s="2339"/>
      <c r="N57" s="2339"/>
      <c r="O57" s="2339"/>
      <c r="P57" s="1380"/>
      <c r="Q57" s="121"/>
    </row>
    <row r="58" spans="1:29" s="855" customFormat="1" ht="15">
      <c r="A58" s="852" t="s">
        <v>568</v>
      </c>
      <c r="B58" s="853"/>
      <c r="C58" s="3084" t="str">
        <f>YEAR(C7)&amp;"-"&amp;MONTH(C7)</f>
        <v>2017-8</v>
      </c>
      <c r="D58" s="3083">
        <f>EDATE(C58,-1)</f>
        <v>42917</v>
      </c>
      <c r="E58" s="3083">
        <f>EDATE(D58,-1)</f>
        <v>42887</v>
      </c>
      <c r="F58" s="3083">
        <f t="shared" ref="F58:O58" si="19">EDATE(E58,-1)</f>
        <v>42856</v>
      </c>
      <c r="G58" s="3083">
        <f t="shared" si="19"/>
        <v>42826</v>
      </c>
      <c r="H58" s="3083">
        <f t="shared" si="19"/>
        <v>42795</v>
      </c>
      <c r="I58" s="3083">
        <f t="shared" si="19"/>
        <v>42767</v>
      </c>
      <c r="J58" s="3083">
        <f t="shared" si="19"/>
        <v>42736</v>
      </c>
      <c r="K58" s="3083">
        <f t="shared" si="19"/>
        <v>42705</v>
      </c>
      <c r="L58" s="3083">
        <f t="shared" si="19"/>
        <v>42675</v>
      </c>
      <c r="M58" s="3083">
        <f t="shared" si="19"/>
        <v>42644</v>
      </c>
      <c r="N58" s="3083">
        <f t="shared" si="19"/>
        <v>42614</v>
      </c>
      <c r="O58" s="3083">
        <f t="shared" si="19"/>
        <v>42583</v>
      </c>
      <c r="P58" s="3076"/>
    </row>
    <row r="59" spans="1:29" s="40" customFormat="1" ht="14.25">
      <c r="A59" s="1050"/>
      <c r="B59" s="3079"/>
      <c r="C59" s="308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311</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595</v>
      </c>
      <c r="D65" s="886" t="s">
        <v>596</v>
      </c>
      <c r="E65" s="886" t="s">
        <v>597</v>
      </c>
      <c r="F65" s="886" t="s">
        <v>1248</v>
      </c>
      <c r="G65" s="886" t="s">
        <v>622</v>
      </c>
      <c r="H65" s="886" t="s">
        <v>1250</v>
      </c>
      <c r="I65" s="886" t="s">
        <v>624</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600</v>
      </c>
      <c r="D76" s="920" t="s">
        <v>1253</v>
      </c>
      <c r="E76" s="920" t="s">
        <v>602</v>
      </c>
      <c r="F76" s="920" t="s">
        <v>1255</v>
      </c>
      <c r="G76" s="920" t="s">
        <v>604</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600</v>
      </c>
      <c r="D78" s="925" t="s">
        <v>1253</v>
      </c>
      <c r="E78" s="925" t="s">
        <v>602</v>
      </c>
      <c r="F78" s="925" t="s">
        <v>1255</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600</v>
      </c>
      <c r="D80" s="925" t="s">
        <v>1253</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3032</v>
      </c>
      <c r="C82" s="177" t="s">
        <v>3048</v>
      </c>
      <c r="D82" s="177" t="s">
        <v>3052</v>
      </c>
      <c r="E82" s="177" t="s">
        <v>3049</v>
      </c>
      <c r="F82" s="177" t="s">
        <v>3050</v>
      </c>
      <c r="G82" s="177" t="s">
        <v>3051</v>
      </c>
      <c r="H82" s="886"/>
      <c r="I82" s="886"/>
      <c r="J82" s="886"/>
      <c r="K82" s="886"/>
      <c r="L82" s="886"/>
      <c r="M82" s="2801"/>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2663</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318</v>
      </c>
      <c r="D90" s="139" t="s">
        <v>320</v>
      </c>
      <c r="E90" s="139" t="s">
        <v>317</v>
      </c>
      <c r="F90" s="139" t="s">
        <v>319</v>
      </c>
      <c r="G90" s="139" t="s">
        <v>316</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3464</v>
      </c>
      <c r="D100" s="122" t="s">
        <v>321</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3039</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270</v>
      </c>
      <c r="D120" s="139" t="s">
        <v>273</v>
      </c>
      <c r="E120" s="139" t="s">
        <v>271</v>
      </c>
      <c r="F120" s="139" t="s">
        <v>272</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600</v>
      </c>
      <c r="D124" s="925" t="s">
        <v>601</v>
      </c>
      <c r="E124" s="925" t="s">
        <v>602</v>
      </c>
      <c r="F124" s="925" t="s">
        <v>603</v>
      </c>
      <c r="G124" s="925" t="s">
        <v>604</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322</v>
      </c>
      <c r="D126" s="139" t="s">
        <v>323</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5" t="s">
        <v>2664</v>
      </c>
    </row>
    <row r="137" spans="1:17" ht="14.25">
      <c r="B137" s="2166" t="s">
        <v>2665</v>
      </c>
      <c r="C137" s="2167"/>
      <c r="D137" s="2167"/>
      <c r="E137" s="2167"/>
      <c r="F137" s="2167"/>
      <c r="G137" s="2168"/>
      <c r="H137" s="2169"/>
      <c r="I137" s="2170" t="s">
        <v>2666</v>
      </c>
      <c r="J137" s="2167"/>
      <c r="K137" s="2171"/>
    </row>
    <row r="138" spans="1:17" ht="14.25">
      <c r="B138" s="2172"/>
      <c r="C138" s="1800" t="s">
        <v>2667</v>
      </c>
      <c r="D138" s="1800" t="s">
        <v>2668</v>
      </c>
      <c r="E138" s="2173" t="s">
        <v>2669</v>
      </c>
      <c r="F138" s="2174" t="s">
        <v>2670</v>
      </c>
      <c r="G138" s="1800" t="s">
        <v>2668</v>
      </c>
      <c r="H138" s="2175" t="s">
        <v>2669</v>
      </c>
      <c r="I138" s="2176"/>
      <c r="J138" s="1800" t="s">
        <v>2671</v>
      </c>
      <c r="K138" s="2175" t="s">
        <v>2672</v>
      </c>
    </row>
    <row r="139" spans="1:17" ht="15">
      <c r="B139" s="2177">
        <v>6</v>
      </c>
      <c r="C139" s="2178">
        <v>96</v>
      </c>
      <c r="D139" s="2179" t="s">
        <v>2673</v>
      </c>
      <c r="E139" s="2180">
        <v>100</v>
      </c>
      <c r="F139" s="2181">
        <v>102.5</v>
      </c>
      <c r="G139" s="2179" t="s">
        <v>2673</v>
      </c>
      <c r="H139" s="2182">
        <v>105</v>
      </c>
      <c r="I139" s="2183" t="s">
        <v>2674</v>
      </c>
      <c r="J139" s="2178">
        <v>20</v>
      </c>
      <c r="K139" s="2184">
        <f>C145/(J139-2)</f>
        <v>4.0555555555555553E-3</v>
      </c>
    </row>
    <row r="140" spans="1:17" ht="15">
      <c r="B140" s="2185">
        <v>5</v>
      </c>
      <c r="C140" s="2186">
        <v>100</v>
      </c>
      <c r="D140" s="2187"/>
      <c r="E140" s="2188"/>
      <c r="F140" s="2189">
        <v>102</v>
      </c>
      <c r="G140" s="2187"/>
      <c r="H140" s="2190"/>
      <c r="I140" s="2191" t="s">
        <v>2675</v>
      </c>
      <c r="J140" s="651">
        <f>ROUNDUP((J139-1)/2,0)</f>
        <v>10</v>
      </c>
      <c r="K140" s="2192">
        <v>100</v>
      </c>
    </row>
    <row r="141" spans="1:17" ht="15">
      <c r="B141" s="2185">
        <v>4</v>
      </c>
      <c r="C141" s="2186">
        <v>102</v>
      </c>
      <c r="D141" s="2187"/>
      <c r="E141" s="2188"/>
      <c r="F141" s="2189">
        <v>101.5</v>
      </c>
      <c r="G141" s="2187"/>
      <c r="H141" s="2190"/>
      <c r="I141" s="2191" t="s">
        <v>2676</v>
      </c>
      <c r="J141" s="651">
        <v>1</v>
      </c>
      <c r="K141" s="2193">
        <f>ROUND(100+(J141-J140)*K139*100,1)</f>
        <v>96.4</v>
      </c>
    </row>
    <row r="142" spans="1:17" ht="15">
      <c r="B142" s="2185">
        <v>3</v>
      </c>
      <c r="C142" s="2186">
        <v>103</v>
      </c>
      <c r="D142" s="2187"/>
      <c r="E142" s="2188"/>
      <c r="F142" s="2189">
        <v>101</v>
      </c>
      <c r="G142" s="2187"/>
      <c r="H142" s="2190"/>
      <c r="I142" s="2191" t="s">
        <v>2677</v>
      </c>
      <c r="J142" s="651">
        <f>J139</f>
        <v>20</v>
      </c>
      <c r="K142" s="2194">
        <v>95</v>
      </c>
    </row>
    <row r="143" spans="1:17" ht="15">
      <c r="B143" s="2185">
        <v>2</v>
      </c>
      <c r="C143" s="2186">
        <v>100</v>
      </c>
      <c r="D143" s="2187"/>
      <c r="E143" s="2188"/>
      <c r="F143" s="2189">
        <v>100.5</v>
      </c>
      <c r="G143" s="2187"/>
      <c r="H143" s="2190"/>
      <c r="I143" s="2191" t="s">
        <v>2108</v>
      </c>
      <c r="J143" s="2186">
        <v>15</v>
      </c>
      <c r="K143" s="2193">
        <f>ROUND(100+(J143-J140)*K139*100,1)</f>
        <v>102</v>
      </c>
    </row>
    <row r="144" spans="1:17" ht="15">
      <c r="B144" s="2185">
        <v>1</v>
      </c>
      <c r="C144" s="2186">
        <v>98</v>
      </c>
      <c r="D144" s="1164" t="s">
        <v>2679</v>
      </c>
      <c r="E144" s="2188">
        <v>102</v>
      </c>
      <c r="F144" s="2195">
        <v>100</v>
      </c>
      <c r="G144" s="1164" t="s">
        <v>2679</v>
      </c>
      <c r="H144" s="2190">
        <v>105</v>
      </c>
      <c r="I144" s="2191" t="s">
        <v>2108</v>
      </c>
      <c r="J144" s="2186">
        <v>18</v>
      </c>
      <c r="K144" s="2193">
        <f>ROUND(100+(J144-J140)*K139*100,1)</f>
        <v>103.2</v>
      </c>
    </row>
    <row r="145" spans="2:11" ht="15.75" thickBot="1">
      <c r="B145" s="2196" t="s">
        <v>2680</v>
      </c>
      <c r="C145" s="2197">
        <f>ROUND(MAX(C139:C144)/MIN(C139:C144)-1,3)</f>
        <v>7.2999999999999995E-2</v>
      </c>
      <c r="D145" s="2198"/>
      <c r="E145" s="2199"/>
      <c r="F145" s="2200" t="s">
        <v>2681</v>
      </c>
      <c r="G145" s="2201"/>
      <c r="H145" s="2202"/>
      <c r="I145" s="2203" t="s">
        <v>2108</v>
      </c>
      <c r="J145" s="2204">
        <v>8</v>
      </c>
      <c r="K145" s="2205">
        <f>ROUND(100+(J145-J140)*K139*100,1)</f>
        <v>99.2</v>
      </c>
    </row>
    <row r="147" spans="2:11">
      <c r="B147" s="2165" t="s">
        <v>2690</v>
      </c>
    </row>
    <row r="148" spans="2:11">
      <c r="B148" s="2165" t="s">
        <v>2691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3375</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2702</v>
      </c>
      <c r="C5" s="2661" t="e">
        <f ca="1">C6+C10+C12</f>
        <v>#N/A</v>
      </c>
      <c r="D5" s="2671" t="s">
        <v>2937</v>
      </c>
      <c r="E5" s="2662"/>
      <c r="F5" s="2663"/>
      <c r="G5" s="2315"/>
      <c r="H5" s="685">
        <v>1</v>
      </c>
      <c r="I5" s="686" t="s">
        <v>2702</v>
      </c>
      <c r="J5" s="2661" t="e">
        <f ca="1">J6+J10+J12</f>
        <v>#N/A</v>
      </c>
      <c r="K5" s="2664" t="s">
        <v>2937</v>
      </c>
      <c r="L5" s="2662"/>
      <c r="M5" s="2663"/>
    </row>
    <row r="6" spans="1:37" ht="18" customHeight="1">
      <c r="A6" s="2657" t="s">
        <v>2743</v>
      </c>
      <c r="B6" s="3665" t="s">
        <v>2936</v>
      </c>
      <c r="C6" s="2666" t="e">
        <f ca="1">ROUND(F6*F8*F7*(1-F9)/10000,0)</f>
        <v>#N/A</v>
      </c>
      <c r="D6" s="2660" t="s">
        <v>2938</v>
      </c>
      <c r="E6" s="688" t="s">
        <v>1153</v>
      </c>
      <c r="F6" s="689" t="e">
        <f ca="1">INDIRECT("'数据-取费表'!u"&amp;$G$1)</f>
        <v>#N/A</v>
      </c>
      <c r="G6" s="2315"/>
      <c r="H6" s="2657" t="s">
        <v>2743</v>
      </c>
      <c r="I6" s="3665" t="s">
        <v>2936</v>
      </c>
      <c r="J6" s="687" t="e">
        <f ca="1">ROUND(M6*M8*M7*(1-M9)/10000,0)</f>
        <v>#N/A</v>
      </c>
      <c r="K6" s="2660" t="s">
        <v>2938</v>
      </c>
      <c r="L6" s="688" t="s">
        <v>1153</v>
      </c>
      <c r="M6" s="689" t="e">
        <f ca="1">INDIRECT("'数据-取费表'!z"&amp;$G$1)</f>
        <v>#N/A</v>
      </c>
    </row>
    <row r="7" spans="1:37" ht="18" customHeight="1">
      <c r="A7" s="2665"/>
      <c r="B7" s="3666"/>
      <c r="C7" s="2667"/>
      <c r="D7" s="2085"/>
      <c r="E7" s="2668" t="s">
        <v>1154</v>
      </c>
      <c r="F7" s="689" t="e">
        <f ca="1">IF(INDIRECT("'数据-取费表'!ah"&amp;$G$1)="",INDIRECT("'数据-取费表'!k"&amp;$G$1),INDIRECT("'数据-取费表'!ah"&amp;$G$1))</f>
        <v>#N/A</v>
      </c>
      <c r="G7" s="2315"/>
      <c r="H7" s="690"/>
      <c r="I7" s="3666"/>
      <c r="J7" s="692"/>
      <c r="K7" s="693"/>
      <c r="L7" s="688" t="s">
        <v>1154</v>
      </c>
      <c r="M7" s="689" t="e">
        <f ca="1">F7</f>
        <v>#N/A</v>
      </c>
    </row>
    <row r="8" spans="1:37" ht="18" customHeight="1">
      <c r="A8" s="690"/>
      <c r="B8" s="3666"/>
      <c r="C8" s="692"/>
      <c r="D8" s="693"/>
      <c r="E8" s="688" t="s">
        <v>1155</v>
      </c>
      <c r="F8" s="689" t="e">
        <f ca="1">INDIRECT("'数据-取费表'!ai"&amp;$G$1)</f>
        <v>#N/A</v>
      </c>
      <c r="G8" s="2315"/>
      <c r="H8" s="690"/>
      <c r="I8" s="3666"/>
      <c r="J8" s="692"/>
      <c r="K8" s="693"/>
      <c r="L8" s="688" t="s">
        <v>1155</v>
      </c>
      <c r="M8" s="689" t="e">
        <f ca="1">INDIRECT("'数据-取费表'!ai"&amp;$G$1)</f>
        <v>#N/A</v>
      </c>
    </row>
    <row r="9" spans="1:37" ht="18" customHeight="1">
      <c r="A9" s="690"/>
      <c r="B9" s="3667"/>
      <c r="C9" s="692"/>
      <c r="D9" s="693"/>
      <c r="E9" s="688" t="s">
        <v>1156</v>
      </c>
      <c r="F9" s="698" t="e">
        <f ca="1">INDIRECT("'数据-取费表'!w"&amp;$G$1)</f>
        <v>#N/A</v>
      </c>
      <c r="G9" s="2315"/>
      <c r="H9" s="690"/>
      <c r="I9" s="3667"/>
      <c r="J9" s="692"/>
      <c r="K9" s="693"/>
      <c r="L9" s="699" t="s">
        <v>1156</v>
      </c>
      <c r="M9" s="700" t="e">
        <f ca="1">INDIRECT("'数据-取费表'!ab"&amp;$G$1)</f>
        <v>#N/A</v>
      </c>
    </row>
    <row r="10" spans="1:37" ht="18" customHeight="1">
      <c r="A10" s="2657" t="s">
        <v>2750</v>
      </c>
      <c r="B10" s="2658" t="s">
        <v>2931</v>
      </c>
      <c r="C10" s="702">
        <f ca="1">ROUND(IF(F10="押一",F6*F8*F7/12*F11,IF(F10="押二",F6*F8*F7/12*2*F11,IF(F10="押三",F6*F8*F7/12*3*F11,C11*F11)))/10000,0)</f>
        <v>0</v>
      </c>
      <c r="D10" s="2669" t="s">
        <v>2939</v>
      </c>
      <c r="E10" s="2121" t="s">
        <v>2933</v>
      </c>
      <c r="F10" s="2867" t="s">
        <v>3096</v>
      </c>
      <c r="G10" s="2315"/>
      <c r="H10" s="2657" t="s">
        <v>2750</v>
      </c>
      <c r="I10" s="2658" t="s">
        <v>2931</v>
      </c>
      <c r="J10" s="687" t="e">
        <f ca="1">ROUND(IF(M10="押一",M6*M8*M7/12*M11,IF(M10="押二",M6*M8*M7/12*2*M11,IF(M10="押三",M6*M8*M7/12*3*M11,J11*M11)))/10000,0)</f>
        <v>#N/A</v>
      </c>
      <c r="K10" s="2669" t="s">
        <v>2939</v>
      </c>
      <c r="L10" s="2121" t="s">
        <v>2933</v>
      </c>
      <c r="M10" s="2765" t="s">
        <v>3025</v>
      </c>
    </row>
    <row r="11" spans="1:37" ht="18" customHeight="1">
      <c r="A11" s="694"/>
      <c r="B11" s="2659" t="s">
        <v>3099</v>
      </c>
      <c r="C11" s="2442"/>
      <c r="D11" s="2906"/>
      <c r="E11" s="2121" t="s">
        <v>2934</v>
      </c>
      <c r="F11" s="700">
        <f ca="1">'数据-取费表'!B39</f>
        <v>1.4999999999999999E-2</v>
      </c>
      <c r="G11" s="2315"/>
      <c r="H11" s="2670"/>
      <c r="I11" s="2659" t="s">
        <v>3099</v>
      </c>
      <c r="J11" s="2442"/>
      <c r="K11" s="1285"/>
      <c r="L11" s="2121" t="s">
        <v>2934</v>
      </c>
      <c r="M11" s="2120">
        <f ca="1">'数据-取费表'!B39</f>
        <v>1.4999999999999999E-2</v>
      </c>
    </row>
    <row r="12" spans="1:37" ht="18" customHeight="1" thickBot="1">
      <c r="A12" s="2706" t="s">
        <v>2944</v>
      </c>
      <c r="B12" s="2707" t="s">
        <v>2932</v>
      </c>
      <c r="C12" s="2708"/>
      <c r="D12" s="2709"/>
      <c r="E12" s="2710"/>
      <c r="F12" s="2711"/>
      <c r="G12" s="2315"/>
      <c r="H12" s="2706" t="s">
        <v>2944</v>
      </c>
      <c r="I12" s="2707" t="s">
        <v>2932</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2740</v>
      </c>
      <c r="B14" s="688" t="s">
        <v>524</v>
      </c>
      <c r="C14" s="706" t="e">
        <f ca="1">INDIRECT("'数据-取费表'!m"&amp;$G$1)+INDIRECT("'数据-取费表'!t"&amp;$G$1)</f>
        <v>#N/A</v>
      </c>
      <c r="D14" s="3296" t="s">
        <v>1160</v>
      </c>
      <c r="E14" s="3294"/>
      <c r="F14" s="707"/>
      <c r="G14" s="2315"/>
      <c r="H14" s="2465" t="s">
        <v>2743</v>
      </c>
      <c r="I14" s="688" t="s">
        <v>1161</v>
      </c>
      <c r="J14" s="319" t="e">
        <f ca="1">C29</f>
        <v>#N/A</v>
      </c>
      <c r="K14" s="309"/>
      <c r="L14" s="704"/>
      <c r="M14" s="705"/>
    </row>
    <row r="15" spans="1:37" s="710" customFormat="1" ht="18" customHeight="1" thickBot="1">
      <c r="A15" s="2465" t="s">
        <v>3008</v>
      </c>
      <c r="B15" s="688" t="s">
        <v>525</v>
      </c>
      <c r="C15" s="319" t="e">
        <f ca="1">ROUND(C14*F15,0)</f>
        <v>#N/A</v>
      </c>
      <c r="D15" s="708" t="s">
        <v>1162</v>
      </c>
      <c r="E15" s="708" t="s">
        <v>530</v>
      </c>
      <c r="F15" s="709">
        <f>'数据-取费表'!B33</f>
        <v>0.03</v>
      </c>
      <c r="G15" s="2316"/>
      <c r="H15" s="2714" t="s">
        <v>2750</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3009</v>
      </c>
      <c r="B16" s="688" t="s">
        <v>526</v>
      </c>
      <c r="C16" s="319" t="e">
        <f ca="1">ROUND(INDIRECT("'数据-取费表'!m"&amp;$G$1)*F16,0)</f>
        <v>#N/A</v>
      </c>
      <c r="D16" s="688" t="s">
        <v>1162</v>
      </c>
      <c r="E16" s="688" t="s">
        <v>530</v>
      </c>
      <c r="F16" s="711" t="e">
        <f ca="1">IF(INDIRECT("'数据-取费表'!c"&amp;$G$1)="住宅",'数据-取费表'!B34,0)</f>
        <v>#N/A</v>
      </c>
      <c r="G16" s="2315"/>
      <c r="H16" s="2702" t="s">
        <v>2708</v>
      </c>
      <c r="I16" s="2703" t="s">
        <v>1164</v>
      </c>
      <c r="J16" s="696" t="e">
        <f ca="1">ROUND(J17+J22+J23+J24,0)</f>
        <v>#N/A</v>
      </c>
      <c r="K16" s="2712" t="s">
        <v>1165</v>
      </c>
      <c r="L16" s="2713"/>
      <c r="M16" s="2663"/>
    </row>
    <row r="17" spans="1:37" s="710" customFormat="1" ht="18" customHeight="1">
      <c r="A17" s="2465" t="s">
        <v>3010</v>
      </c>
      <c r="B17" s="688" t="s">
        <v>527</v>
      </c>
      <c r="C17" s="319" t="e">
        <f ca="1">ROUND(F17*(F43+INDIRECT("'数据-取费表'!S"&amp;$G$1))/10000,0)</f>
        <v>#N/A</v>
      </c>
      <c r="D17" s="688" t="s">
        <v>1166</v>
      </c>
      <c r="E17" s="688" t="s">
        <v>1167</v>
      </c>
      <c r="F17" s="321">
        <f>'数据-取费表'!B35</f>
        <v>200</v>
      </c>
      <c r="G17" s="2316"/>
      <c r="H17" s="2465" t="s">
        <v>2743</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3011</v>
      </c>
      <c r="B18" s="688" t="s">
        <v>529</v>
      </c>
      <c r="C18" s="319" t="e">
        <f ca="1">ROUND(C14*F18,0)</f>
        <v>#N/A</v>
      </c>
      <c r="D18" s="688" t="s">
        <v>1162</v>
      </c>
      <c r="E18" s="688" t="s">
        <v>530</v>
      </c>
      <c r="F18" s="711">
        <f>'数据-取费表'!B36</f>
        <v>1.4999999999999999E-2</v>
      </c>
      <c r="G18" s="2316"/>
      <c r="H18" s="2465" t="s">
        <v>2740</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2743</v>
      </c>
      <c r="B19" s="688" t="s">
        <v>531</v>
      </c>
      <c r="C19" s="319" t="e">
        <f ca="1">SUM(C14:C18)</f>
        <v>#N/A</v>
      </c>
      <c r="D19" s="475" t="s">
        <v>1172</v>
      </c>
      <c r="E19" s="3299"/>
      <c r="F19" s="321"/>
      <c r="G19" s="2315"/>
      <c r="H19" s="2465" t="s">
        <v>3008</v>
      </c>
      <c r="I19" s="688" t="s">
        <v>1173</v>
      </c>
      <c r="J19" s="319" t="e">
        <f ca="1">IF(K19="按租金收入计税",ROUND(J5*M19,2),ROUND(C29*M19*0.7,2))</f>
        <v>#N/A</v>
      </c>
      <c r="K19" s="1305" t="s">
        <v>2793</v>
      </c>
      <c r="L19" s="688" t="s">
        <v>530</v>
      </c>
      <c r="M19" s="711">
        <f>IF(K19="按租金收入计税",'数据-取费表'!B51,'数据-取费表'!B50)</f>
        <v>1.2E-2</v>
      </c>
    </row>
    <row r="20" spans="1:37" s="710" customFormat="1" ht="18" customHeight="1">
      <c r="A20" s="2465" t="s">
        <v>3012</v>
      </c>
      <c r="B20" s="688" t="s">
        <v>532</v>
      </c>
      <c r="C20" s="319" t="e">
        <f ca="1">ROUND(C19*F20,0)</f>
        <v>#N/A</v>
      </c>
      <c r="D20" s="713" t="s">
        <v>1174</v>
      </c>
      <c r="E20" s="688" t="s">
        <v>530</v>
      </c>
      <c r="F20" s="711">
        <f>'数据-取费表'!B37</f>
        <v>1.4999999999999999E-2</v>
      </c>
      <c r="G20" s="2316"/>
      <c r="H20" s="2465" t="s">
        <v>3009</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3013</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3014</v>
      </c>
      <c r="B22" s="688" t="s">
        <v>1182</v>
      </c>
      <c r="C22" s="319"/>
      <c r="D22" s="2737" t="str">
        <f>IF(F23&lt;=1,"单利计息。","复利计息。")&amp;"建造成本、管理费用、销售费用产生的利息。"</f>
        <v>复利计息。建造成本、管理费用、销售费用产生的利息。</v>
      </c>
      <c r="E22" s="3299"/>
      <c r="F22" s="321"/>
      <c r="G22" s="2315"/>
      <c r="H22" s="2465" t="s">
        <v>2750</v>
      </c>
      <c r="I22" s="688" t="s">
        <v>1183</v>
      </c>
      <c r="J22" s="319" t="e">
        <f ca="1">ROUND(J14*M22,1)</f>
        <v>#N/A</v>
      </c>
      <c r="K22" s="3295" t="s">
        <v>1184</v>
      </c>
      <c r="L22" s="688" t="s">
        <v>530</v>
      </c>
      <c r="M22" s="718" t="e">
        <f ca="1">INDIRECT("'数据-取费表'!Ak"&amp;$G$1)</f>
        <v>#N/A</v>
      </c>
    </row>
    <row r="23" spans="1:37" s="710" customFormat="1" ht="18" customHeight="1">
      <c r="A23" s="2465" t="s">
        <v>2740</v>
      </c>
      <c r="B23" s="688" t="s">
        <v>2928</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3013</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2746</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3014</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2747</v>
      </c>
      <c r="B25" s="688" t="s">
        <v>537</v>
      </c>
      <c r="C25" s="319"/>
      <c r="D25" s="475" t="s">
        <v>1190</v>
      </c>
      <c r="E25" s="3299"/>
      <c r="F25" s="321"/>
      <c r="G25" s="2315"/>
      <c r="H25" s="2702" t="s">
        <v>2723</v>
      </c>
      <c r="I25" s="2719" t="s">
        <v>542</v>
      </c>
      <c r="J25" s="696" t="e">
        <f ca="1">J5-J16</f>
        <v>#N/A</v>
      </c>
      <c r="K25" s="2720" t="s">
        <v>543</v>
      </c>
      <c r="L25" s="2721"/>
      <c r="M25" s="2722"/>
    </row>
    <row r="26" spans="1:37" ht="18" customHeight="1">
      <c r="A26" s="2465" t="s">
        <v>2740</v>
      </c>
      <c r="B26" s="688" t="s">
        <v>2929</v>
      </c>
      <c r="C26" s="319" t="e">
        <f ca="1">ROUND((C19+C20)*F26,0)</f>
        <v>#N/A</v>
      </c>
      <c r="D26" s="713" t="s">
        <v>1193</v>
      </c>
      <c r="E26" s="699" t="s">
        <v>1194</v>
      </c>
      <c r="F26" s="698" t="e">
        <f ca="1">INDIRECT("'数据-取费表'!q"&amp;$G$1)</f>
        <v>#N/A</v>
      </c>
      <c r="G26" s="2315"/>
      <c r="H26" s="685" t="s">
        <v>2726</v>
      </c>
      <c r="I26" s="686" t="s">
        <v>1195</v>
      </c>
      <c r="J26" s="687" t="e">
        <f ca="1">IF(J5&lt;&gt;0,ROUND(J25*(1-((1+M28)/(1+M26))^M27)/(M26-M28),0),0)</f>
        <v>#N/A</v>
      </c>
      <c r="K26" s="714" t="s">
        <v>538</v>
      </c>
      <c r="L26" s="688" t="s">
        <v>539</v>
      </c>
      <c r="M26" s="698" t="e">
        <f ca="1">INDIRECT("'数据-取费表'!I"&amp;$G$1)</f>
        <v>#N/A</v>
      </c>
    </row>
    <row r="27" spans="1:37" ht="18" customHeight="1">
      <c r="A27" s="2465" t="s">
        <v>2746</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2748</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2749</v>
      </c>
      <c r="B29" s="2715" t="s">
        <v>1206</v>
      </c>
      <c r="C29" s="2716" t="e">
        <f ca="1">ROUND((C19+C20+C23+C26)/(1-F21-C24-C27-C28),0)</f>
        <v>#N/A</v>
      </c>
      <c r="D29" s="2717"/>
      <c r="E29" s="2715"/>
      <c r="F29" s="2718"/>
      <c r="G29" s="2316"/>
      <c r="H29" s="724" t="s">
        <v>2733</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2708</v>
      </c>
      <c r="B30" s="2703" t="s">
        <v>1164</v>
      </c>
      <c r="C30" s="696" t="e">
        <f ca="1">ROUND(C31+C36+C37+C38,0)</f>
        <v>#N/A</v>
      </c>
      <c r="D30" s="2712" t="s">
        <v>1165</v>
      </c>
      <c r="E30" s="2713"/>
      <c r="F30" s="2663"/>
      <c r="G30" s="2315"/>
      <c r="H30" s="1282"/>
      <c r="I30" s="1283"/>
      <c r="J30" s="1284"/>
      <c r="K30" s="1285"/>
      <c r="L30" s="1286"/>
      <c r="M30" s="1287"/>
    </row>
    <row r="31" spans="1:37" ht="18" customHeight="1">
      <c r="A31" s="2465" t="s">
        <v>2743</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2740</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3008</v>
      </c>
      <c r="B33" s="688" t="s">
        <v>1173</v>
      </c>
      <c r="C33" s="319" t="e">
        <f ca="1">IF(项目基本情况!B11="自然人","——",IF(D33="按租金收入计税",ROUND(C5*F33,2),IF(D33="按房产原值计税",ROUND(C29*F33*0.7,2),INDIRECT("'数据-取费表'!Aj"&amp;$G$1))))</f>
        <v>#N/A</v>
      </c>
      <c r="D33" s="1305" t="s">
        <v>2793</v>
      </c>
      <c r="E33" s="688" t="s">
        <v>530</v>
      </c>
      <c r="F33" s="711">
        <f>IF(D33="按票据","——",IF(D33="按租金收入计税",'数据-取费表'!B51,'数据-取费表'!B50))</f>
        <v>1.2E-2</v>
      </c>
      <c r="G33" s="2315"/>
      <c r="H33" s="1294"/>
      <c r="I33" s="2920"/>
      <c r="J33" s="2921"/>
      <c r="K33" s="1295"/>
      <c r="L33" s="1294"/>
      <c r="M33" s="1294"/>
    </row>
    <row r="34" spans="1:18" ht="18" customHeight="1">
      <c r="A34" s="2657" t="s">
        <v>3009</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2750</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3013</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3014</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2723</v>
      </c>
      <c r="B39" s="2719" t="s">
        <v>542</v>
      </c>
      <c r="C39" s="696" t="e">
        <f ca="1">C5-C30</f>
        <v>#N/A</v>
      </c>
      <c r="D39" s="2720" t="s">
        <v>543</v>
      </c>
      <c r="E39" s="2721"/>
      <c r="F39" s="2722"/>
      <c r="G39" s="2315"/>
      <c r="H39" s="1294"/>
      <c r="I39" s="2920"/>
      <c r="J39" s="2921"/>
      <c r="K39" s="1299"/>
      <c r="L39" s="1294"/>
      <c r="M39" s="1294"/>
    </row>
    <row r="40" spans="1:18" ht="18" customHeight="1">
      <c r="A40" s="685" t="s">
        <v>2726</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2733</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2876</v>
      </c>
      <c r="P45" s="1300"/>
      <c r="Q45" s="1300"/>
      <c r="R45" s="1300"/>
    </row>
    <row r="46" spans="1:18" s="1480" customFormat="1" ht="21" thickBot="1">
      <c r="A46" s="2423" t="s">
        <v>2695</v>
      </c>
      <c r="B46" s="2424"/>
      <c r="C46" s="2761" t="e">
        <f ca="1">C68-C40</f>
        <v>#N/A</v>
      </c>
      <c r="D46" s="2762" t="str">
        <f>C2</f>
        <v>万元</v>
      </c>
      <c r="E46" s="1437"/>
      <c r="F46" s="1437"/>
      <c r="I46" s="2609" t="s">
        <v>2809</v>
      </c>
      <c r="J46" s="2610"/>
      <c r="K46" s="2611"/>
      <c r="L46" s="2613" t="e">
        <f ca="1">IF(M47="住宅",0,IF(L48&gt;J51,L60,J60))</f>
        <v>#N/A</v>
      </c>
      <c r="O46" s="2625" t="s">
        <v>2854</v>
      </c>
      <c r="P46" s="2626" t="s">
        <v>2855</v>
      </c>
      <c r="Q46" s="2627" t="s">
        <v>2853</v>
      </c>
      <c r="R46" s="2627" t="s">
        <v>2856</v>
      </c>
    </row>
    <row r="47" spans="1:18" s="1480" customFormat="1" ht="15.75" thickBot="1">
      <c r="A47" s="2425" t="s">
        <v>1148</v>
      </c>
      <c r="B47" s="2461" t="s">
        <v>1149</v>
      </c>
      <c r="C47" s="2766" t="s">
        <v>1150</v>
      </c>
      <c r="D47" s="2461" t="s">
        <v>1151</v>
      </c>
      <c r="E47" s="2565" t="s">
        <v>1152</v>
      </c>
      <c r="F47" s="2566"/>
      <c r="G47" s="1482"/>
      <c r="I47" s="2584" t="s">
        <v>2802</v>
      </c>
      <c r="J47" s="2585" t="s">
        <v>131</v>
      </c>
      <c r="K47" s="2594" t="s">
        <v>2825</v>
      </c>
      <c r="L47" s="2595" t="e">
        <f ca="1">INDIRECT("'数据-取费表'!d"&amp;$G$1)</f>
        <v>#N/A</v>
      </c>
      <c r="M47" s="2615" t="str">
        <f>IF(ISNUMBER(FIND("住宅",C1)),"住宅","非住宅")</f>
        <v>非住宅</v>
      </c>
      <c r="O47" s="2618" t="s">
        <v>2838</v>
      </c>
      <c r="P47" s="2628" t="s">
        <v>2857</v>
      </c>
      <c r="Q47" s="2619" t="e">
        <f ca="1">C40+J29</f>
        <v>#N/A</v>
      </c>
      <c r="R47" s="2619" t="s">
        <v>2858</v>
      </c>
    </row>
    <row r="48" spans="1:18" s="1480" customFormat="1" ht="47.25" thickBot="1">
      <c r="A48" s="2747" t="s">
        <v>3019</v>
      </c>
      <c r="B48" s="686" t="s">
        <v>2702</v>
      </c>
      <c r="C48" s="3298" t="e">
        <f ca="1">C49+C53+C55</f>
        <v>#N/A</v>
      </c>
      <c r="D48" s="2751"/>
      <c r="E48" s="2752"/>
      <c r="F48" s="2445"/>
      <c r="G48" s="1482"/>
      <c r="H48" s="1483"/>
      <c r="I48" s="2574" t="s">
        <v>2803</v>
      </c>
      <c r="J48" s="2586" t="s">
        <v>2804</v>
      </c>
      <c r="K48" s="2596" t="s">
        <v>908</v>
      </c>
      <c r="L48" s="2192" t="e">
        <f ca="1">INDIRECT("'数据-取费表'!f"&amp;$G$1)</f>
        <v>#N/A</v>
      </c>
      <c r="O48" s="2618" t="s">
        <v>2839</v>
      </c>
      <c r="P48" s="2628" t="s">
        <v>2859</v>
      </c>
      <c r="Q48" s="2619" t="e">
        <f ca="1">J60</f>
        <v>#N/A</v>
      </c>
      <c r="R48" s="2619" t="s">
        <v>2867</v>
      </c>
    </row>
    <row r="49" spans="1:18" s="1480" customFormat="1" ht="16.5" thickBot="1">
      <c r="A49" s="2458" t="s">
        <v>3020</v>
      </c>
      <c r="B49" s="2750" t="s">
        <v>3022</v>
      </c>
      <c r="C49" s="2759" t="e">
        <f ca="1">ROUND(F49*F51*F50*(1-F52)/10000,0)</f>
        <v>#N/A</v>
      </c>
      <c r="D49" s="2561" t="s">
        <v>2703</v>
      </c>
      <c r="E49" s="2564" t="s">
        <v>2696</v>
      </c>
      <c r="F49" s="2567">
        <v>1500</v>
      </c>
      <c r="G49" s="1484"/>
      <c r="H49" s="1483"/>
      <c r="I49" s="2574" t="s">
        <v>2823</v>
      </c>
      <c r="J49" s="3312">
        <v>2018</v>
      </c>
      <c r="K49" s="2597" t="s">
        <v>2828</v>
      </c>
      <c r="L49" s="2598">
        <v>5000</v>
      </c>
      <c r="O49" s="2620" t="s">
        <v>2840</v>
      </c>
      <c r="P49" s="2628" t="s">
        <v>2860</v>
      </c>
      <c r="Q49" s="2619" t="e">
        <f ca="1">C29</f>
        <v>#N/A</v>
      </c>
      <c r="R49" s="2619" t="s">
        <v>2858</v>
      </c>
    </row>
    <row r="50" spans="1:18" s="1480" customFormat="1" ht="15.75" thickBot="1">
      <c r="A50" s="2459"/>
      <c r="B50" s="2462"/>
      <c r="C50" s="2767"/>
      <c r="D50" s="2432"/>
      <c r="E50" s="2562" t="s">
        <v>1154</v>
      </c>
      <c r="F50" s="2563" t="e">
        <f ca="1">F7</f>
        <v>#N/A</v>
      </c>
      <c r="H50" s="1483"/>
      <c r="I50" s="2574" t="s">
        <v>2805</v>
      </c>
      <c r="J50" s="2588">
        <f>SUMPRODUCT((I63:I65=J47)*(J62:L62=J48)*(J63:L65))</f>
        <v>60</v>
      </c>
      <c r="K50" s="2597" t="s">
        <v>2829</v>
      </c>
      <c r="L50" s="2598">
        <v>0</v>
      </c>
      <c r="M50" s="2592"/>
      <c r="O50" s="2620" t="s">
        <v>2841</v>
      </c>
      <c r="P50" s="2628" t="s">
        <v>2868</v>
      </c>
      <c r="Q50" s="2621">
        <f>J58</f>
        <v>0.4</v>
      </c>
      <c r="R50" s="2619"/>
    </row>
    <row r="51" spans="1:18" s="1480" customFormat="1" ht="15.75" thickBot="1">
      <c r="A51" s="2460"/>
      <c r="B51" s="2462"/>
      <c r="C51" s="2463"/>
      <c r="D51" s="2432"/>
      <c r="E51" s="2464" t="s">
        <v>1155</v>
      </c>
      <c r="F51" s="689" t="e">
        <f ca="1">F8</f>
        <v>#N/A</v>
      </c>
      <c r="I51" s="2589" t="s">
        <v>2810</v>
      </c>
      <c r="J51" s="2590">
        <f>IF(J49="",J50,J49+J50-YEAR('数据-取费表'!B2))</f>
        <v>61</v>
      </c>
      <c r="K51" s="2599" t="s">
        <v>2830</v>
      </c>
      <c r="L51" s="2612" t="e">
        <f ca="1">ROUND(-PV(INDIRECT("'数据-取费表'!h"&amp;$G$1),L48,(C39-C13*C76),0),0)</f>
        <v>#N/A</v>
      </c>
      <c r="M51" s="2593"/>
      <c r="O51" s="2620" t="s">
        <v>2842</v>
      </c>
      <c r="P51" s="2628" t="s">
        <v>2869</v>
      </c>
      <c r="Q51" s="2621">
        <f>J52</f>
        <v>0.09</v>
      </c>
      <c r="R51" s="2619"/>
    </row>
    <row r="52" spans="1:18" s="1480" customFormat="1" ht="15.75" thickBot="1">
      <c r="A52" s="2460"/>
      <c r="B52" s="2462"/>
      <c r="C52" s="2463"/>
      <c r="D52" s="2432"/>
      <c r="E52" s="2464" t="s">
        <v>1156</v>
      </c>
      <c r="F52" s="2560">
        <v>0.1</v>
      </c>
      <c r="I52" s="2591" t="s">
        <v>2834</v>
      </c>
      <c r="J52" s="2605">
        <v>0.09</v>
      </c>
      <c r="K52" s="2591" t="s">
        <v>2818</v>
      </c>
      <c r="L52" s="2605">
        <v>0.04</v>
      </c>
      <c r="M52" s="2424"/>
      <c r="O52" s="2620" t="s">
        <v>2843</v>
      </c>
      <c r="P52" s="2628" t="s">
        <v>2861</v>
      </c>
      <c r="Q52" s="2619" t="e">
        <f ca="1">J53</f>
        <v>#N/A</v>
      </c>
      <c r="R52" s="2619" t="s">
        <v>2862</v>
      </c>
    </row>
    <row r="53" spans="1:18" s="1480" customFormat="1" ht="43.5" thickBot="1">
      <c r="A53" s="2865" t="s">
        <v>3021</v>
      </c>
      <c r="B53" s="437" t="s">
        <v>2931</v>
      </c>
      <c r="C53" s="702" t="e">
        <f ca="1">ROUND(IF(F53="押一",F49*F51*F50/12*F11,IF(F53="押二",F49*F51*F50/12*2*F11,IF(F53="押三",F49*F51*F50/12*3*F11,C54*F11)))/10000,0)</f>
        <v>#N/A</v>
      </c>
      <c r="D53" s="2669" t="s">
        <v>2939</v>
      </c>
      <c r="E53" s="2121" t="s">
        <v>2933</v>
      </c>
      <c r="F53" s="2867" t="s">
        <v>3025</v>
      </c>
      <c r="I53" s="2601" t="s">
        <v>2836</v>
      </c>
      <c r="J53" s="2602" t="e">
        <f ca="1">IF(M47="住宅",J51,MIN(J51,L48))</f>
        <v>#N/A</v>
      </c>
      <c r="K53" s="366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64"/>
      <c r="O53" s="2618" t="s">
        <v>2844</v>
      </c>
      <c r="P53" s="2628" t="s">
        <v>2863</v>
      </c>
      <c r="Q53" s="2619" t="e">
        <f ca="1">Q47+Q48</f>
        <v>#N/A</v>
      </c>
      <c r="R53" s="2619" t="s">
        <v>2845</v>
      </c>
    </row>
    <row r="54" spans="1:18" s="1480" customFormat="1" ht="16.5" thickBot="1">
      <c r="A54" s="2866"/>
      <c r="B54" s="2659" t="s">
        <v>3099</v>
      </c>
      <c r="C54" s="2442"/>
      <c r="D54" s="2669"/>
      <c r="E54" s="3297"/>
      <c r="F54" s="2568"/>
      <c r="I54" s="2439"/>
      <c r="J54" s="2600"/>
      <c r="K54" s="2600"/>
      <c r="L54" s="2600"/>
      <c r="M54" s="1484"/>
      <c r="O54" s="2622" t="s">
        <v>2870</v>
      </c>
      <c r="P54" s="1300"/>
      <c r="Q54" s="1300"/>
      <c r="R54" s="1300"/>
    </row>
    <row r="55" spans="1:18" s="1480" customFormat="1" ht="16.5" thickBot="1">
      <c r="A55" s="2706" t="s">
        <v>2944</v>
      </c>
      <c r="B55" s="2707" t="s">
        <v>2932</v>
      </c>
      <c r="C55" s="2708"/>
      <c r="D55" s="2669"/>
      <c r="E55" s="3297"/>
      <c r="F55" s="2568"/>
      <c r="I55" s="2571" t="s">
        <v>2811</v>
      </c>
      <c r="J55" s="2572"/>
      <c r="K55" s="2582" t="s">
        <v>2812</v>
      </c>
      <c r="L55" s="2604" t="s">
        <v>2852</v>
      </c>
      <c r="O55" s="2625" t="s">
        <v>2854</v>
      </c>
      <c r="P55" s="2626" t="s">
        <v>2855</v>
      </c>
      <c r="Q55" s="2627" t="s">
        <v>2853</v>
      </c>
      <c r="R55" s="2627" t="s">
        <v>2856</v>
      </c>
    </row>
    <row r="56" spans="1:18" s="1480" customFormat="1" ht="44.25" thickTop="1" thickBot="1">
      <c r="A56" s="2436">
        <v>2</v>
      </c>
      <c r="B56" s="2437" t="s">
        <v>1157</v>
      </c>
      <c r="C56" s="612" t="e">
        <f ca="1">C13</f>
        <v>#N/A</v>
      </c>
      <c r="D56" s="2734"/>
      <c r="E56" s="2438"/>
      <c r="F56" s="2568"/>
      <c r="I56" s="2573" t="s">
        <v>2813</v>
      </c>
      <c r="J56" s="2603" t="s">
        <v>44</v>
      </c>
      <c r="K56" s="2574" t="s">
        <v>2817</v>
      </c>
      <c r="L56" s="2192" t="e">
        <f ca="1">IF(L48&lt;J51,"——",L48-J51)</f>
        <v>#N/A</v>
      </c>
      <c r="O56" s="2618" t="s">
        <v>2838</v>
      </c>
      <c r="P56" s="2628" t="s">
        <v>2857</v>
      </c>
      <c r="Q56" s="2619" t="e">
        <f ca="1">C40+J29</f>
        <v>#N/A</v>
      </c>
      <c r="R56" s="2619" t="s">
        <v>2858</v>
      </c>
    </row>
    <row r="57" spans="1:18" s="1480" customFormat="1" ht="29.25" thickBot="1">
      <c r="A57" s="2569"/>
      <c r="B57" s="2429" t="s">
        <v>1206</v>
      </c>
      <c r="C57" s="618" t="e">
        <f ca="1">C29</f>
        <v>#N/A</v>
      </c>
      <c r="D57" s="2440"/>
      <c r="E57" s="2441"/>
      <c r="F57" s="2570"/>
      <c r="I57" s="2575" t="s">
        <v>2835</v>
      </c>
      <c r="J57" s="2579" t="e">
        <f ca="1">IF(OR(M47="住宅",J51&lt;L48,J56="是"),"——",J51-L48)</f>
        <v>#N/A</v>
      </c>
      <c r="K57" s="2574" t="s">
        <v>3307</v>
      </c>
      <c r="L57" s="2192" t="e">
        <f ca="1">IF(L48&lt;J51,"——",IF(L55="比较法",L49,IF(L55="基准地价",L50,L51)))</f>
        <v>#N/A</v>
      </c>
      <c r="O57" s="2618" t="s">
        <v>2839</v>
      </c>
      <c r="P57" s="2628" t="s">
        <v>2864</v>
      </c>
      <c r="Q57" s="2619" t="e">
        <f ca="1">L60</f>
        <v>#N/A</v>
      </c>
      <c r="R57" s="2619" t="s">
        <v>2879</v>
      </c>
    </row>
    <row r="58" spans="1:18" s="1480" customFormat="1" ht="29.25" thickBot="1">
      <c r="A58" s="701" t="s">
        <v>2708</v>
      </c>
      <c r="B58" s="2437" t="s">
        <v>1164</v>
      </c>
      <c r="C58" s="702" t="e">
        <f ca="1">ROUND(C59+C64+C65+C66,0)</f>
        <v>#N/A</v>
      </c>
      <c r="D58" s="2443" t="s">
        <v>1165</v>
      </c>
      <c r="E58" s="2444"/>
      <c r="F58" s="2445"/>
      <c r="I58" s="2575" t="s">
        <v>2814</v>
      </c>
      <c r="J58" s="3314">
        <v>0.4</v>
      </c>
      <c r="K58" s="2599" t="s">
        <v>3308</v>
      </c>
      <c r="L58" s="2192">
        <f ca="1">IF(ISERROR(POWER(1+L52,L47-L48)*(POWER(1+L52,L48)-1)/(POWER(1+L52,L47)-1)),0,POWER(1+L52,L47-L48)*(POWER(1+L52,L48)-1)/(POWER(1+L52,L47)-1))</f>
        <v>0</v>
      </c>
      <c r="O58" s="2620" t="s">
        <v>2840</v>
      </c>
      <c r="P58" s="2628" t="s">
        <v>2871</v>
      </c>
      <c r="Q58" s="2619">
        <f>IF(L55="比较法",L49,IF(L55="基准地价",L50,0))</f>
        <v>5000</v>
      </c>
      <c r="R58" s="2619" t="s">
        <v>2858</v>
      </c>
    </row>
    <row r="59" spans="1:18" s="1480" customFormat="1" ht="29.25" thickBot="1">
      <c r="A59" s="2465" t="s">
        <v>2743</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2815</v>
      </c>
      <c r="J59" s="2579" t="e">
        <f ca="1">IF(OR(M47="住宅",J51&lt;L48,J56="是"),"——",ROUND(C29*J58,0))</f>
        <v>#N/A</v>
      </c>
      <c r="K59" s="2599" t="s">
        <v>3309</v>
      </c>
      <c r="L59" s="2192">
        <f ca="1">IF(ISERROR(POWER(1+L52,L47-J51)*(POWER(1+L52,J51)-1)/(POWER(1+L52,L47)-1)),0,POWER(1+L52,L47-J51)*(POWER(1+L52,J51)-1)/(POWER(1+L52,L47)-1))</f>
        <v>0</v>
      </c>
      <c r="O59" s="2620" t="s">
        <v>2841</v>
      </c>
      <c r="P59" s="2628" t="s">
        <v>2872</v>
      </c>
      <c r="Q59" s="2621">
        <f>L52</f>
        <v>0.04</v>
      </c>
      <c r="R59" s="2619"/>
    </row>
    <row r="60" spans="1:18" s="1480" customFormat="1" ht="20.25" thickBot="1">
      <c r="A60" s="2465" t="s">
        <v>2740</v>
      </c>
      <c r="B60" s="2429" t="s">
        <v>1170</v>
      </c>
      <c r="C60" s="319" t="e">
        <f ca="1">IF(项目基本情况!B11="自然人","——",ROUND(C48*F60/(1+'数据-取费表'!B42),2))</f>
        <v>#N/A</v>
      </c>
      <c r="D60" s="2447" t="s">
        <v>1171</v>
      </c>
      <c r="E60" s="2429" t="s">
        <v>530</v>
      </c>
      <c r="F60" s="721">
        <f t="shared" ref="F60:F66" si="0">F32</f>
        <v>5.6000000000000001E-2</v>
      </c>
      <c r="I60" s="2576" t="s">
        <v>2816</v>
      </c>
      <c r="J60" s="2581" t="e">
        <f ca="1">IF(OR(M47="住宅",J51&lt;L48,J56="是"),"0",ROUND(J59/(1+J52)^J53,0))</f>
        <v>#N/A</v>
      </c>
      <c r="K60" s="2583" t="s">
        <v>2819</v>
      </c>
      <c r="L60" s="2581" t="e">
        <f ca="1">IF(OR(M47="住宅",L48&lt;J51),0,ROUND(L57*(L58/L59-1),0))</f>
        <v>#N/A</v>
      </c>
      <c r="O60" s="2620" t="s">
        <v>2842</v>
      </c>
      <c r="P60" s="2628" t="s">
        <v>2873</v>
      </c>
      <c r="Q60" s="2619">
        <f ca="1">L58</f>
        <v>0</v>
      </c>
      <c r="R60" s="2619" t="s">
        <v>2847</v>
      </c>
    </row>
    <row r="61" spans="1:18" s="1480" customFormat="1" ht="20.25" thickBot="1">
      <c r="A61" s="2465" t="s">
        <v>2741</v>
      </c>
      <c r="B61" s="2429" t="s">
        <v>1173</v>
      </c>
      <c r="C61" s="319" t="e">
        <f ca="1">IF(项目基本情况!B11="自然人","——",IF(D61="按租金收入计税",ROUND(C48*F61,2),IF(D61="按房产原值计税",ROUND(C57*F61*0.7,2),INDIRECT("'数据-取费表'!Aj"&amp;$G$1))))</f>
        <v>#N/A</v>
      </c>
      <c r="D61" s="1305" t="s">
        <v>2793</v>
      </c>
      <c r="E61" s="2429" t="s">
        <v>530</v>
      </c>
      <c r="F61" s="711">
        <f t="shared" si="0"/>
        <v>1.2E-2</v>
      </c>
      <c r="I61" s="2439"/>
      <c r="J61" s="2439"/>
      <c r="K61" s="2439"/>
      <c r="L61" s="2439"/>
      <c r="O61" s="2620" t="s">
        <v>2843</v>
      </c>
      <c r="P61" s="2628" t="s">
        <v>2874</v>
      </c>
      <c r="Q61" s="2619">
        <f ca="1">L59</f>
        <v>0</v>
      </c>
      <c r="R61" s="2619" t="s">
        <v>2848</v>
      </c>
    </row>
    <row r="62" spans="1:18" s="1480" customFormat="1" ht="15.75" thickBot="1">
      <c r="A62" s="2465" t="s">
        <v>2742</v>
      </c>
      <c r="B62" s="2428" t="s">
        <v>1175</v>
      </c>
      <c r="C62" s="320" t="e">
        <f ca="1">IF(项目基本情况!B11="自然人","——",ROUND(F62*F63/10000,2))</f>
        <v>#N/A</v>
      </c>
      <c r="D62" s="2448" t="s">
        <v>1176</v>
      </c>
      <c r="E62" s="2429" t="s">
        <v>1177</v>
      </c>
      <c r="F62" s="715">
        <f t="shared" si="0"/>
        <v>18</v>
      </c>
      <c r="I62" s="2577" t="s">
        <v>2806</v>
      </c>
      <c r="J62" s="2578" t="s">
        <v>2807</v>
      </c>
      <c r="K62" s="2578" t="s">
        <v>2808</v>
      </c>
      <c r="L62" s="2578" t="s">
        <v>2804</v>
      </c>
      <c r="O62" s="2618" t="s">
        <v>2844</v>
      </c>
      <c r="P62" s="2628" t="s">
        <v>2863</v>
      </c>
      <c r="Q62" s="2619" t="e">
        <f ca="1">Q56+Q57</f>
        <v>#N/A</v>
      </c>
      <c r="R62" s="2619" t="s">
        <v>2845</v>
      </c>
    </row>
    <row r="63" spans="1:18" s="1480" customFormat="1" ht="16.5" thickBot="1">
      <c r="A63" s="716"/>
      <c r="B63" s="2435"/>
      <c r="C63" s="324"/>
      <c r="D63" s="2449"/>
      <c r="E63" s="2429" t="s">
        <v>1181</v>
      </c>
      <c r="F63" s="689" t="e">
        <f t="shared" ca="1" si="0"/>
        <v>#N/A</v>
      </c>
      <c r="I63" s="2577" t="s">
        <v>2820</v>
      </c>
      <c r="J63" s="2578">
        <v>70</v>
      </c>
      <c r="K63" s="2578">
        <v>50</v>
      </c>
      <c r="L63" s="2578">
        <v>80</v>
      </c>
      <c r="O63" s="2622" t="s">
        <v>2877</v>
      </c>
      <c r="P63" s="1300"/>
      <c r="Q63" s="1300"/>
      <c r="R63" s="1300"/>
    </row>
    <row r="64" spans="1:18" s="1480" customFormat="1" ht="15.75" thickBot="1">
      <c r="A64" s="2465" t="s">
        <v>2750</v>
      </c>
      <c r="B64" s="2429" t="s">
        <v>1183</v>
      </c>
      <c r="C64" s="319" t="e">
        <f ca="1">ROUND(C57*F64,1)</f>
        <v>#N/A</v>
      </c>
      <c r="D64" s="2447" t="s">
        <v>1213</v>
      </c>
      <c r="E64" s="2429" t="s">
        <v>530</v>
      </c>
      <c r="F64" s="718" t="e">
        <f t="shared" ca="1" si="0"/>
        <v>#N/A</v>
      </c>
      <c r="I64" s="2577" t="s">
        <v>126</v>
      </c>
      <c r="J64" s="2578">
        <v>50</v>
      </c>
      <c r="K64" s="2578">
        <v>35</v>
      </c>
      <c r="L64" s="2578">
        <v>60</v>
      </c>
      <c r="O64" s="2625" t="s">
        <v>2854</v>
      </c>
      <c r="P64" s="2626" t="s">
        <v>2855</v>
      </c>
      <c r="Q64" s="2627" t="s">
        <v>2853</v>
      </c>
      <c r="R64" s="2627" t="s">
        <v>2856</v>
      </c>
    </row>
    <row r="65" spans="1:18" s="1480" customFormat="1" ht="15.75" thickBot="1">
      <c r="A65" s="2465" t="s">
        <v>2744</v>
      </c>
      <c r="B65" s="2429" t="s">
        <v>533</v>
      </c>
      <c r="C65" s="319" t="e">
        <f ca="1">ROUND(C56*F65,1)</f>
        <v>#N/A</v>
      </c>
      <c r="D65" s="2447" t="s">
        <v>534</v>
      </c>
      <c r="E65" s="2429" t="s">
        <v>530</v>
      </c>
      <c r="F65" s="720" t="e">
        <f t="shared" ca="1" si="0"/>
        <v>#N/A</v>
      </c>
      <c r="I65" s="2577" t="s">
        <v>2822</v>
      </c>
      <c r="J65" s="2578">
        <v>40</v>
      </c>
      <c r="K65" s="2578">
        <v>30</v>
      </c>
      <c r="L65" s="2578">
        <v>50</v>
      </c>
      <c r="O65" s="2618" t="s">
        <v>2838</v>
      </c>
      <c r="P65" s="2628" t="s">
        <v>2857</v>
      </c>
      <c r="Q65" s="2619" t="e">
        <f ca="1">C40+J29</f>
        <v>#N/A</v>
      </c>
      <c r="R65" s="2619" t="s">
        <v>2858</v>
      </c>
    </row>
    <row r="66" spans="1:18" s="1480" customFormat="1" ht="20.25" thickBot="1">
      <c r="A66" s="2465" t="s">
        <v>2745</v>
      </c>
      <c r="B66" s="2429" t="s">
        <v>532</v>
      </c>
      <c r="C66" s="319" t="e">
        <f ca="1">ROUND(C48*F66,1)</f>
        <v>#N/A</v>
      </c>
      <c r="D66" s="2447" t="s">
        <v>536</v>
      </c>
      <c r="E66" s="2429" t="s">
        <v>530</v>
      </c>
      <c r="F66" s="698" t="e">
        <f t="shared" ca="1" si="0"/>
        <v>#N/A</v>
      </c>
      <c r="O66" s="2618" t="s">
        <v>2839</v>
      </c>
      <c r="P66" s="2628" t="s">
        <v>2864</v>
      </c>
      <c r="Q66" s="2619" t="e">
        <f ca="1">L60</f>
        <v>#N/A</v>
      </c>
      <c r="R66" s="2619" t="s">
        <v>2846</v>
      </c>
    </row>
    <row r="67" spans="1:18" s="1480" customFormat="1" ht="24.75" thickBot="1">
      <c r="A67" s="2436" t="s">
        <v>2723</v>
      </c>
      <c r="B67" s="2450" t="s">
        <v>542</v>
      </c>
      <c r="C67" s="702" t="e">
        <f ca="1">C48-C58</f>
        <v>#N/A</v>
      </c>
      <c r="D67" s="2446" t="s">
        <v>543</v>
      </c>
      <c r="E67" s="2451"/>
      <c r="F67" s="2452"/>
      <c r="O67" s="2620" t="s">
        <v>2840</v>
      </c>
      <c r="P67" s="2628" t="s">
        <v>2871</v>
      </c>
      <c r="Q67" s="2623" t="e">
        <f ca="1">L51</f>
        <v>#N/A</v>
      </c>
      <c r="R67" s="2624" t="s">
        <v>2881</v>
      </c>
    </row>
    <row r="68" spans="1:18" s="1480" customFormat="1" ht="20.25" thickBot="1">
      <c r="A68" s="2426" t="s">
        <v>2726</v>
      </c>
      <c r="B68" s="2427" t="s">
        <v>544</v>
      </c>
      <c r="C68" s="687" t="e">
        <f ca="1">ROUND(C67*(1-((1+F70)/(1+F68))^F69)/(F68-F70),0)</f>
        <v>#N/A</v>
      </c>
      <c r="D68" s="2448" t="s">
        <v>538</v>
      </c>
      <c r="E68" s="2429" t="s">
        <v>539</v>
      </c>
      <c r="F68" s="698" t="e">
        <f ca="1">F40</f>
        <v>#N/A</v>
      </c>
      <c r="O68" s="2620" t="s">
        <v>2841</v>
      </c>
      <c r="P68" s="2629" t="s">
        <v>2875</v>
      </c>
      <c r="Q68" s="2619" t="e">
        <f ca="1">ROUND(Q69-Q70*Q71,0)</f>
        <v>#N/A</v>
      </c>
      <c r="R68" s="2619" t="s">
        <v>2880</v>
      </c>
    </row>
    <row r="69" spans="1:18" s="1480" customFormat="1" ht="15.75" thickBot="1">
      <c r="A69" s="2430"/>
      <c r="B69" s="2431"/>
      <c r="C69" s="692"/>
      <c r="D69" s="2453" t="s">
        <v>1198</v>
      </c>
      <c r="E69" s="2429" t="s">
        <v>546</v>
      </c>
      <c r="F69" s="723" t="e">
        <f ca="1">F41</f>
        <v>#N/A</v>
      </c>
      <c r="O69" s="2620" t="s">
        <v>2849</v>
      </c>
      <c r="P69" s="2629" t="s">
        <v>2865</v>
      </c>
      <c r="Q69" s="2619" t="e">
        <f ca="1">C39</f>
        <v>#N/A</v>
      </c>
      <c r="R69" s="2619" t="s">
        <v>2858</v>
      </c>
    </row>
    <row r="70" spans="1:18" s="1480" customFormat="1" ht="15.75" thickBot="1">
      <c r="A70" s="2433"/>
      <c r="B70" s="2434"/>
      <c r="C70" s="696"/>
      <c r="D70" s="2449"/>
      <c r="E70" s="2429" t="s">
        <v>547</v>
      </c>
      <c r="F70" s="2560">
        <v>2.5000000000000001E-2</v>
      </c>
      <c r="O70" s="2620" t="s">
        <v>2850</v>
      </c>
      <c r="P70" s="2629" t="s">
        <v>2866</v>
      </c>
      <c r="Q70" s="2619" t="e">
        <f ca="1">C13</f>
        <v>#N/A</v>
      </c>
      <c r="R70" s="2619" t="s">
        <v>2858</v>
      </c>
    </row>
    <row r="71" spans="1:18" s="1480" customFormat="1" ht="15.75" thickBot="1">
      <c r="A71" s="2454" t="s">
        <v>2733</v>
      </c>
      <c r="B71" s="2455" t="s">
        <v>548</v>
      </c>
      <c r="C71" s="726" t="e">
        <f ca="1">ROUND(C68*10000/F71,0)</f>
        <v>#N/A</v>
      </c>
      <c r="D71" s="2456" t="s">
        <v>549</v>
      </c>
      <c r="E71" s="2457" t="s">
        <v>550</v>
      </c>
      <c r="F71" s="729" t="e">
        <f ca="1">F43</f>
        <v>#N/A</v>
      </c>
      <c r="I71" s="2424"/>
      <c r="K71" s="2424"/>
      <c r="O71" s="2620" t="s">
        <v>2851</v>
      </c>
      <c r="P71" s="2629" t="s">
        <v>2878</v>
      </c>
      <c r="Q71" s="2621" t="e">
        <f ca="1">C76</f>
        <v>#N/A</v>
      </c>
      <c r="R71" s="2619"/>
    </row>
    <row r="72" spans="1:18" s="1480" customFormat="1" ht="15.75" thickBot="1">
      <c r="B72" s="1485"/>
      <c r="C72" s="1485"/>
      <c r="I72" s="2424"/>
      <c r="O72" s="2620" t="s">
        <v>2842</v>
      </c>
      <c r="P72" s="2628" t="s">
        <v>2872</v>
      </c>
      <c r="Q72" s="2621">
        <f>L52</f>
        <v>0.04</v>
      </c>
      <c r="R72" s="2619"/>
    </row>
    <row r="73" spans="1:18" ht="20.25" thickBot="1">
      <c r="A73" s="1480"/>
      <c r="B73" s="1485"/>
      <c r="C73" s="1485"/>
      <c r="D73" s="1480"/>
      <c r="E73" s="1480"/>
      <c r="F73" s="1480"/>
      <c r="I73" s="2614"/>
      <c r="O73" s="2620" t="s">
        <v>2843</v>
      </c>
      <c r="P73" s="2628" t="s">
        <v>2873</v>
      </c>
      <c r="Q73" s="2619">
        <f ca="1">L58</f>
        <v>0</v>
      </c>
      <c r="R73" s="2619" t="s">
        <v>2847</v>
      </c>
    </row>
    <row r="74" spans="1:18" ht="20.25" thickBot="1">
      <c r="A74" s="1480"/>
      <c r="B74" s="731" t="s">
        <v>551</v>
      </c>
      <c r="C74" s="732"/>
      <c r="D74" s="1480"/>
      <c r="E74" s="1480"/>
      <c r="F74" s="1480"/>
      <c r="O74" s="2620" t="s">
        <v>2882</v>
      </c>
      <c r="P74" s="2628" t="s">
        <v>2874</v>
      </c>
      <c r="Q74" s="2619">
        <f ca="1">L59</f>
        <v>0</v>
      </c>
      <c r="R74" s="2619" t="s">
        <v>2848</v>
      </c>
    </row>
    <row r="75" spans="1:18" ht="15.75" thickBot="1">
      <c r="A75" s="1480"/>
      <c r="B75" s="733" t="s">
        <v>1211</v>
      </c>
      <c r="C75" s="734" t="e">
        <f ca="1">ROUND(C13*C76,0)</f>
        <v>#N/A</v>
      </c>
      <c r="D75" s="1480"/>
      <c r="E75" s="1480"/>
      <c r="F75" s="1480"/>
      <c r="K75" s="1481"/>
      <c r="L75" s="1480"/>
      <c r="O75" s="2618" t="s">
        <v>2844</v>
      </c>
      <c r="P75" s="2628" t="s">
        <v>2863</v>
      </c>
      <c r="Q75" s="2619" t="e">
        <f ca="1">Q65+Q66</f>
        <v>#N/A</v>
      </c>
      <c r="R75" s="2619" t="s">
        <v>2845</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3106</v>
      </c>
      <c r="C79" s="654" t="e">
        <f ca="1">1-C80</f>
        <v>#N/A</v>
      </c>
    </row>
    <row r="80" spans="1:18">
      <c r="B80" s="2912" t="s">
        <v>3105</v>
      </c>
      <c r="C80" s="654" t="e">
        <f ca="1">ROUND(C75/C39,3)</f>
        <v>#N/A</v>
      </c>
    </row>
    <row r="81" spans="2:3">
      <c r="B81" s="650" t="s">
        <v>552</v>
      </c>
      <c r="C81" s="651"/>
    </row>
    <row r="82" spans="2:3">
      <c r="B82" s="2911" t="s">
        <v>3104</v>
      </c>
      <c r="C82" s="655" t="e">
        <f ca="1">1-C83</f>
        <v>#N/A</v>
      </c>
    </row>
    <row r="83" spans="2:3">
      <c r="B83" s="2911" t="s">
        <v>3103</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69" t="s">
        <v>2362</v>
      </c>
    </row>
    <row r="2" spans="1:1">
      <c r="A2" s="1970"/>
    </row>
    <row r="3" spans="1:1" ht="18.75">
      <c r="A3" s="2925" t="str">
        <f>项目基本情况!B5&amp;"："</f>
        <v>河南恒祥实业有限公司：</v>
      </c>
    </row>
    <row r="4" spans="1:1" ht="37.5">
      <c r="A4" s="1971"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2" t="s">
        <v>2363</v>
      </c>
    </row>
    <row r="6" spans="1:1" ht="18.75">
      <c r="A6" s="3093" t="s">
        <v>3275</v>
      </c>
    </row>
    <row r="7" spans="1:1" ht="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24814.06平方米，建筑面积为144992.93平方米。</v>
      </c>
    </row>
    <row r="8" spans="1:1" ht="56.25">
      <c r="A8" s="2015" t="s">
        <v>3268</v>
      </c>
    </row>
    <row r="9" spans="1:1" ht="18.75">
      <c r="A9" s="3093" t="s">
        <v>3276</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24814.06平方米，规划建筑面积为144992.93平方米。</v>
      </c>
    </row>
    <row r="11" spans="1:1" ht="75">
      <c r="A11" s="2015" t="s">
        <v>3311</v>
      </c>
    </row>
    <row r="12" spans="1:1" ht="18.75">
      <c r="A12" s="1972" t="s">
        <v>2364</v>
      </c>
    </row>
    <row r="13" spans="1:1" ht="38.25" customHeight="1">
      <c r="A13" s="197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4" t="s">
        <v>2365</v>
      </c>
    </row>
    <row r="15" spans="1:1" ht="18.75">
      <c r="A15" s="1975" t="str">
        <f>TEXT(项目基本情况!D3,"yyyy年m月d日;;")&amp;IF(项目基本情况!D3=项目基本情况!B3,"评估专业人员实地查勘之日","")</f>
        <v>2017年8月12日评估专业人员实地查勘之日</v>
      </c>
    </row>
    <row r="16" spans="1:1" ht="18.75">
      <c r="A16" s="1974" t="s">
        <v>2367</v>
      </c>
    </row>
    <row r="17" spans="1:1" ht="75">
      <c r="A17" s="1971" t="s">
        <v>3269</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12日，估价对象规划用途为住宅、办公、地下车库，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3270</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2389</v>
      </c>
    </row>
    <row r="24" spans="1:1" ht="18.75">
      <c r="A24" s="1978" t="str">
        <f>"本次评估采用的主估价方法为"&amp;结果表!K4&amp;"和"&amp;结果表!L4&amp;"。"</f>
        <v>本次评估采用的主估价方法为成本法和假设开发法。</v>
      </c>
    </row>
    <row r="25" spans="1:1" ht="18.75">
      <c r="A25" s="1978"/>
    </row>
    <row r="26" spans="1:1" ht="18.75">
      <c r="A26" s="2107" t="s">
        <v>2474</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209</v>
      </c>
      <c r="D1" s="1278"/>
      <c r="E1" s="2616" t="s">
        <v>763</v>
      </c>
      <c r="F1" s="2617"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C40+J29+L46</f>
        <v>#N/A</v>
      </c>
      <c r="C2" s="1304" t="s">
        <v>1415</v>
      </c>
      <c r="D2" s="1280"/>
      <c r="E2" s="2606"/>
      <c r="F2" s="1281"/>
      <c r="G2" s="2314"/>
      <c r="H2" s="1279"/>
      <c r="I2" s="1279"/>
      <c r="J2" s="1279"/>
      <c r="K2" s="1303"/>
      <c r="L2" s="1279"/>
      <c r="M2" s="1279"/>
    </row>
    <row r="3" spans="1:37" ht="18" customHeight="1" thickBot="1">
      <c r="A3" s="679" t="s">
        <v>511</v>
      </c>
      <c r="B3" s="1412">
        <f ca="1">IF(ISERROR(B2*10000/F43),0,ROUND(B2*10000/F43,0))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2702</v>
      </c>
      <c r="C5" s="2661" t="e">
        <f ca="1">C6+C10+C12</f>
        <v>#N/A</v>
      </c>
      <c r="D5" s="2671" t="s">
        <v>2937</v>
      </c>
      <c r="E5" s="2662"/>
      <c r="F5" s="2663"/>
      <c r="G5" s="2315"/>
      <c r="H5" s="685">
        <v>1</v>
      </c>
      <c r="I5" s="686" t="s">
        <v>2702</v>
      </c>
      <c r="J5" s="2661" t="e">
        <f ca="1">J6+J10+J12</f>
        <v>#N/A</v>
      </c>
      <c r="K5" s="2664" t="s">
        <v>2937</v>
      </c>
      <c r="L5" s="2662"/>
      <c r="M5" s="2663"/>
    </row>
    <row r="6" spans="1:37" ht="18" customHeight="1">
      <c r="A6" s="2657" t="s">
        <v>2743</v>
      </c>
      <c r="B6" s="3665" t="s">
        <v>2936</v>
      </c>
      <c r="C6" s="2666" t="e">
        <f ca="1">ROUND(F6*F8*F7*(1-F9)/10000,0)</f>
        <v>#N/A</v>
      </c>
      <c r="D6" s="2660" t="s">
        <v>2938</v>
      </c>
      <c r="E6" s="688" t="s">
        <v>1153</v>
      </c>
      <c r="F6" s="689" t="e">
        <f ca="1">INDIRECT("'数据-取费表'!u"&amp;$G$1)</f>
        <v>#N/A</v>
      </c>
      <c r="G6" s="2315"/>
      <c r="H6" s="2657" t="s">
        <v>2743</v>
      </c>
      <c r="I6" s="3665" t="s">
        <v>2936</v>
      </c>
      <c r="J6" s="687" t="e">
        <f ca="1">ROUND(M6*M8*M7*(1-M9)/10000,0)</f>
        <v>#N/A</v>
      </c>
      <c r="K6" s="2660" t="s">
        <v>2938</v>
      </c>
      <c r="L6" s="688" t="s">
        <v>1153</v>
      </c>
      <c r="M6" s="689" t="e">
        <f ca="1">INDIRECT("'数据-取费表'!z"&amp;$G$1)</f>
        <v>#N/A</v>
      </c>
    </row>
    <row r="7" spans="1:37" ht="18" customHeight="1">
      <c r="A7" s="2665"/>
      <c r="B7" s="3666"/>
      <c r="C7" s="2667"/>
      <c r="D7" s="2085"/>
      <c r="E7" s="2668" t="s">
        <v>1154</v>
      </c>
      <c r="F7" s="689" t="e">
        <f ca="1">IF(INDIRECT("'数据-取费表'!ah"&amp;$G$1)="",INDIRECT("'数据-取费表'!k"&amp;$G$1),INDIRECT("'数据-取费表'!ah"&amp;$G$1))</f>
        <v>#N/A</v>
      </c>
      <c r="G7" s="2315"/>
      <c r="H7" s="690"/>
      <c r="I7" s="3666"/>
      <c r="J7" s="692"/>
      <c r="K7" s="693"/>
      <c r="L7" s="688" t="s">
        <v>1154</v>
      </c>
      <c r="M7" s="689" t="e">
        <f ca="1">F7</f>
        <v>#N/A</v>
      </c>
    </row>
    <row r="8" spans="1:37" ht="18" customHeight="1">
      <c r="A8" s="690"/>
      <c r="B8" s="3666"/>
      <c r="C8" s="692"/>
      <c r="D8" s="693"/>
      <c r="E8" s="688" t="s">
        <v>1155</v>
      </c>
      <c r="F8" s="689" t="e">
        <f ca="1">INDIRECT("'数据-取费表'!ai"&amp;$G$1)</f>
        <v>#N/A</v>
      </c>
      <c r="G8" s="2315"/>
      <c r="H8" s="690"/>
      <c r="I8" s="3666"/>
      <c r="J8" s="692"/>
      <c r="K8" s="693"/>
      <c r="L8" s="688" t="s">
        <v>1155</v>
      </c>
      <c r="M8" s="689" t="e">
        <f ca="1">INDIRECT("'数据-取费表'!ai"&amp;$G$1)</f>
        <v>#N/A</v>
      </c>
    </row>
    <row r="9" spans="1:37" ht="18" customHeight="1">
      <c r="A9" s="690"/>
      <c r="B9" s="3667"/>
      <c r="C9" s="692"/>
      <c r="D9" s="693"/>
      <c r="E9" s="688" t="s">
        <v>1156</v>
      </c>
      <c r="F9" s="698" t="e">
        <f ca="1">INDIRECT("'数据-取费表'!w"&amp;$G$1)</f>
        <v>#N/A</v>
      </c>
      <c r="G9" s="2315"/>
      <c r="H9" s="690"/>
      <c r="I9" s="3667"/>
      <c r="J9" s="692"/>
      <c r="K9" s="693"/>
      <c r="L9" s="699" t="s">
        <v>1156</v>
      </c>
      <c r="M9" s="700" t="e">
        <f ca="1">INDIRECT("'数据-取费表'!ab"&amp;$G$1)</f>
        <v>#N/A</v>
      </c>
    </row>
    <row r="10" spans="1:37" ht="18" customHeight="1">
      <c r="A10" s="2657" t="s">
        <v>2750</v>
      </c>
      <c r="B10" s="2658" t="s">
        <v>2931</v>
      </c>
      <c r="C10" s="702">
        <f ca="1">ROUND(IF(F10="押一",F6*F8*F7/12*F11,IF(F10="押二",F6*F8*F7/12*2*F11,IF(F10="押三",F6*F8*F7/12*3*F11,C11*F11)))/10000,0)</f>
        <v>0</v>
      </c>
      <c r="D10" s="2669" t="s">
        <v>2939</v>
      </c>
      <c r="E10" s="2121" t="s">
        <v>2933</v>
      </c>
      <c r="F10" s="2867" t="s">
        <v>3096</v>
      </c>
      <c r="G10" s="2315"/>
      <c r="H10" s="2657" t="s">
        <v>2750</v>
      </c>
      <c r="I10" s="2658" t="s">
        <v>2931</v>
      </c>
      <c r="J10" s="687" t="e">
        <f ca="1">ROUND(IF(M10="押一",M6*M8*M7/12*M11,IF(M10="押二",M6*M8*M7/12*2*M11,IF(M10="押三",M6*M8*M7/12*3*M11,J11*M11)))/10000,0)</f>
        <v>#N/A</v>
      </c>
      <c r="K10" s="2669" t="s">
        <v>2939</v>
      </c>
      <c r="L10" s="2121" t="s">
        <v>2933</v>
      </c>
      <c r="M10" s="2765" t="s">
        <v>3025</v>
      </c>
    </row>
    <row r="11" spans="1:37" ht="18" customHeight="1">
      <c r="A11" s="694"/>
      <c r="B11" s="2659" t="s">
        <v>3099</v>
      </c>
      <c r="C11" s="2442"/>
      <c r="D11" s="2906"/>
      <c r="E11" s="2121" t="s">
        <v>2934</v>
      </c>
      <c r="F11" s="700">
        <f ca="1">'数据-取费表'!B39</f>
        <v>1.4999999999999999E-2</v>
      </c>
      <c r="G11" s="2315"/>
      <c r="H11" s="2670"/>
      <c r="I11" s="2659" t="s">
        <v>3099</v>
      </c>
      <c r="J11" s="2442"/>
      <c r="K11" s="1285"/>
      <c r="L11" s="2121" t="s">
        <v>2934</v>
      </c>
      <c r="M11" s="2120">
        <f ca="1">'数据-取费表'!B39</f>
        <v>1.4999999999999999E-2</v>
      </c>
    </row>
    <row r="12" spans="1:37" ht="18" customHeight="1" thickBot="1">
      <c r="A12" s="2706" t="s">
        <v>2944</v>
      </c>
      <c r="B12" s="2707" t="s">
        <v>2932</v>
      </c>
      <c r="C12" s="2708"/>
      <c r="D12" s="2709"/>
      <c r="E12" s="2710"/>
      <c r="F12" s="2711"/>
      <c r="G12" s="2315"/>
      <c r="H12" s="2706" t="s">
        <v>2944</v>
      </c>
      <c r="I12" s="2707" t="s">
        <v>2932</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2740</v>
      </c>
      <c r="B14" s="688" t="s">
        <v>524</v>
      </c>
      <c r="C14" s="706" t="e">
        <f ca="1">INDIRECT("'数据-取费表'!m"&amp;$G$1)+INDIRECT("'数据-取费表'!t"&amp;$G$1)</f>
        <v>#N/A</v>
      </c>
      <c r="D14" s="3296" t="s">
        <v>1160</v>
      </c>
      <c r="E14" s="3294"/>
      <c r="F14" s="707"/>
      <c r="G14" s="2315"/>
      <c r="H14" s="2465" t="s">
        <v>2743</v>
      </c>
      <c r="I14" s="688" t="s">
        <v>1161</v>
      </c>
      <c r="J14" s="319" t="e">
        <f ca="1">C29</f>
        <v>#N/A</v>
      </c>
      <c r="K14" s="309"/>
      <c r="L14" s="704"/>
      <c r="M14" s="705"/>
    </row>
    <row r="15" spans="1:37" s="710" customFormat="1" ht="18" customHeight="1" thickBot="1">
      <c r="A15" s="2465" t="s">
        <v>3008</v>
      </c>
      <c r="B15" s="688" t="s">
        <v>525</v>
      </c>
      <c r="C15" s="319" t="e">
        <f ca="1">ROUND(C14*F15,0)</f>
        <v>#N/A</v>
      </c>
      <c r="D15" s="708" t="s">
        <v>1162</v>
      </c>
      <c r="E15" s="708" t="s">
        <v>530</v>
      </c>
      <c r="F15" s="709">
        <f>'数据-取费表'!B33</f>
        <v>0.03</v>
      </c>
      <c r="G15" s="2316"/>
      <c r="H15" s="2714" t="s">
        <v>2750</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3009</v>
      </c>
      <c r="B16" s="688" t="s">
        <v>526</v>
      </c>
      <c r="C16" s="319" t="e">
        <f ca="1">ROUND(INDIRECT("'数据-取费表'!m"&amp;$G$1)*F16,0)</f>
        <v>#N/A</v>
      </c>
      <c r="D16" s="688" t="s">
        <v>1162</v>
      </c>
      <c r="E16" s="688" t="s">
        <v>530</v>
      </c>
      <c r="F16" s="711" t="e">
        <f ca="1">IF(INDIRECT("'数据-取费表'!c"&amp;$G$1)="住宅",'数据-取费表'!B34,0)</f>
        <v>#N/A</v>
      </c>
      <c r="G16" s="2315"/>
      <c r="H16" s="2702" t="s">
        <v>2708</v>
      </c>
      <c r="I16" s="2703" t="s">
        <v>1164</v>
      </c>
      <c r="J16" s="696" t="e">
        <f ca="1">ROUND(J17+J22+J23+J24,0)</f>
        <v>#N/A</v>
      </c>
      <c r="K16" s="2712" t="s">
        <v>1165</v>
      </c>
      <c r="L16" s="2713"/>
      <c r="M16" s="2663"/>
    </row>
    <row r="17" spans="1:37" s="710" customFormat="1" ht="18" customHeight="1">
      <c r="A17" s="2465" t="s">
        <v>3010</v>
      </c>
      <c r="B17" s="688" t="s">
        <v>527</v>
      </c>
      <c r="C17" s="319" t="e">
        <f ca="1">ROUND(F17*(F43+INDIRECT("'数据-取费表'!S"&amp;$G$1))/10000,0)</f>
        <v>#N/A</v>
      </c>
      <c r="D17" s="688" t="s">
        <v>1166</v>
      </c>
      <c r="E17" s="688" t="s">
        <v>1167</v>
      </c>
      <c r="F17" s="321">
        <f>'数据-取费表'!B35</f>
        <v>200</v>
      </c>
      <c r="G17" s="2316"/>
      <c r="H17" s="2465" t="s">
        <v>2743</v>
      </c>
      <c r="I17" s="688" t="s">
        <v>528</v>
      </c>
      <c r="J17" s="319" t="e">
        <f ca="1">ROUND(IF(项目基本情况!B11="自然人",J5*M17,J18+J19+J20),1)</f>
        <v>#N/A</v>
      </c>
      <c r="K17" s="3296" t="s">
        <v>1168</v>
      </c>
      <c r="L17" s="3295"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3011</v>
      </c>
      <c r="B18" s="688" t="s">
        <v>529</v>
      </c>
      <c r="C18" s="319" t="e">
        <f ca="1">ROUND(C14*F18,0)</f>
        <v>#N/A</v>
      </c>
      <c r="D18" s="688" t="s">
        <v>1162</v>
      </c>
      <c r="E18" s="688" t="s">
        <v>530</v>
      </c>
      <c r="F18" s="711">
        <f>'数据-取费表'!B36</f>
        <v>1.4999999999999999E-2</v>
      </c>
      <c r="G18" s="2316"/>
      <c r="H18" s="2465" t="s">
        <v>2740</v>
      </c>
      <c r="I18" s="688" t="s">
        <v>1170</v>
      </c>
      <c r="J18" s="319" t="e">
        <f ca="1">ROUND(J5*M18/(1+'数据-取费表'!B42),2)</f>
        <v>#N/A</v>
      </c>
      <c r="K18" s="3295"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2743</v>
      </c>
      <c r="B19" s="688" t="s">
        <v>531</v>
      </c>
      <c r="C19" s="319" t="e">
        <f ca="1">SUM(C14:C18)</f>
        <v>#N/A</v>
      </c>
      <c r="D19" s="475" t="s">
        <v>1172</v>
      </c>
      <c r="E19" s="3299"/>
      <c r="F19" s="321"/>
      <c r="G19" s="2315"/>
      <c r="H19" s="2465" t="s">
        <v>3008</v>
      </c>
      <c r="I19" s="688" t="s">
        <v>1173</v>
      </c>
      <c r="J19" s="319" t="e">
        <f ca="1">IF(K19="按租金收入计税",ROUND(J5*M19,2),ROUND(C29*M19*0.7,2))</f>
        <v>#N/A</v>
      </c>
      <c r="K19" s="1305" t="s">
        <v>2793</v>
      </c>
      <c r="L19" s="688" t="s">
        <v>530</v>
      </c>
      <c r="M19" s="711">
        <f>IF(K19="按租金收入计税",'数据-取费表'!B51,'数据-取费表'!B50)</f>
        <v>1.2E-2</v>
      </c>
    </row>
    <row r="20" spans="1:37" s="710" customFormat="1" ht="18" customHeight="1">
      <c r="A20" s="2465" t="s">
        <v>3012</v>
      </c>
      <c r="B20" s="688" t="s">
        <v>532</v>
      </c>
      <c r="C20" s="319" t="e">
        <f ca="1">ROUND(C19*F20,0)</f>
        <v>#N/A</v>
      </c>
      <c r="D20" s="713" t="s">
        <v>1174</v>
      </c>
      <c r="E20" s="688" t="s">
        <v>530</v>
      </c>
      <c r="F20" s="711">
        <f>'数据-取费表'!B37</f>
        <v>1.4999999999999999E-2</v>
      </c>
      <c r="G20" s="2316"/>
      <c r="H20" s="2465" t="s">
        <v>3009</v>
      </c>
      <c r="I20" s="500" t="s">
        <v>1175</v>
      </c>
      <c r="J20" s="320" t="e">
        <f ca="1">ROUND(M20*M21/10000,2)</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3013</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3014</v>
      </c>
      <c r="B22" s="688" t="s">
        <v>1182</v>
      </c>
      <c r="C22" s="319"/>
      <c r="D22" s="2737" t="str">
        <f>IF(F23&lt;=1,"单利计息。","复利计息。")&amp;"建造成本、管理费用、销售费用产生的利息。"</f>
        <v>复利计息。建造成本、管理费用、销售费用产生的利息。</v>
      </c>
      <c r="E22" s="3299"/>
      <c r="F22" s="321"/>
      <c r="G22" s="2315"/>
      <c r="H22" s="2465" t="s">
        <v>2750</v>
      </c>
      <c r="I22" s="688" t="s">
        <v>1183</v>
      </c>
      <c r="J22" s="319" t="e">
        <f ca="1">ROUND(J14*M22,1)</f>
        <v>#N/A</v>
      </c>
      <c r="K22" s="3295" t="s">
        <v>1184</v>
      </c>
      <c r="L22" s="688" t="s">
        <v>530</v>
      </c>
      <c r="M22" s="718" t="e">
        <f ca="1">INDIRECT("'数据-取费表'!Ak"&amp;$G$1)</f>
        <v>#N/A</v>
      </c>
    </row>
    <row r="23" spans="1:37" s="710" customFormat="1" ht="18" customHeight="1">
      <c r="A23" s="2465" t="s">
        <v>2740</v>
      </c>
      <c r="B23" s="688" t="s">
        <v>2928</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3013</v>
      </c>
      <c r="I23" s="688" t="s">
        <v>533</v>
      </c>
      <c r="J23" s="319" t="e">
        <f ca="1">ROUND(J13*M23,1)</f>
        <v>#N/A</v>
      </c>
      <c r="K23" s="3295"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2746</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3014</v>
      </c>
      <c r="I24" s="2715" t="s">
        <v>532</v>
      </c>
      <c r="J24" s="2716" t="e">
        <f ca="1">ROUND(J5*M24,1)</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2747</v>
      </c>
      <c r="B25" s="688" t="s">
        <v>537</v>
      </c>
      <c r="C25" s="319"/>
      <c r="D25" s="475" t="s">
        <v>1190</v>
      </c>
      <c r="E25" s="3299"/>
      <c r="F25" s="321"/>
      <c r="G25" s="2315"/>
      <c r="H25" s="2702" t="s">
        <v>2723</v>
      </c>
      <c r="I25" s="2719" t="s">
        <v>542</v>
      </c>
      <c r="J25" s="696" t="e">
        <f ca="1">J5-J16</f>
        <v>#N/A</v>
      </c>
      <c r="K25" s="2720" t="s">
        <v>543</v>
      </c>
      <c r="L25" s="2721"/>
      <c r="M25" s="2722"/>
    </row>
    <row r="26" spans="1:37" ht="18" customHeight="1">
      <c r="A26" s="2465" t="s">
        <v>2740</v>
      </c>
      <c r="B26" s="688" t="s">
        <v>2929</v>
      </c>
      <c r="C26" s="319" t="e">
        <f ca="1">ROUND((C19+C20)*F26,0)</f>
        <v>#N/A</v>
      </c>
      <c r="D26" s="713" t="s">
        <v>1193</v>
      </c>
      <c r="E26" s="699" t="s">
        <v>1194</v>
      </c>
      <c r="F26" s="698" t="e">
        <f ca="1">INDIRECT("'数据-取费表'!q"&amp;$G$1)</f>
        <v>#N/A</v>
      </c>
      <c r="G26" s="2315"/>
      <c r="H26" s="685" t="s">
        <v>2726</v>
      </c>
      <c r="I26" s="686" t="s">
        <v>1195</v>
      </c>
      <c r="J26" s="687" t="e">
        <f ca="1">IF(J5&lt;&gt;0,ROUND(J25*(1-((1+M28)/(1+M26))^M27)/(M26-M28),0),0)</f>
        <v>#N/A</v>
      </c>
      <c r="K26" s="714" t="s">
        <v>538</v>
      </c>
      <c r="L26" s="688" t="s">
        <v>539</v>
      </c>
      <c r="M26" s="698" t="e">
        <f ca="1">INDIRECT("'数据-取费表'!I"&amp;$G$1)</f>
        <v>#N/A</v>
      </c>
    </row>
    <row r="27" spans="1:37" ht="18" customHeight="1">
      <c r="A27" s="2465" t="s">
        <v>2746</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2748</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2749</v>
      </c>
      <c r="B29" s="2715" t="s">
        <v>1206</v>
      </c>
      <c r="C29" s="2716" t="e">
        <f ca="1">ROUND((C19+C20+C23+C26)/(1-F21-C24-C27-C28),0)</f>
        <v>#N/A</v>
      </c>
      <c r="D29" s="2717"/>
      <c r="E29" s="2715"/>
      <c r="F29" s="2718"/>
      <c r="G29" s="2316"/>
      <c r="H29" s="724" t="s">
        <v>2733</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2708</v>
      </c>
      <c r="B30" s="2703" t="s">
        <v>1164</v>
      </c>
      <c r="C30" s="696" t="e">
        <f ca="1">ROUND(C31+C36+C37+C38,0)</f>
        <v>#N/A</v>
      </c>
      <c r="D30" s="2712" t="s">
        <v>1165</v>
      </c>
      <c r="E30" s="2713"/>
      <c r="F30" s="2663"/>
      <c r="G30" s="2315"/>
      <c r="H30" s="1282"/>
      <c r="I30" s="1283"/>
      <c r="J30" s="1284"/>
      <c r="K30" s="1285"/>
      <c r="L30" s="1286"/>
      <c r="M30" s="1287"/>
    </row>
    <row r="31" spans="1:37" ht="18" customHeight="1">
      <c r="A31" s="2465" t="s">
        <v>2743</v>
      </c>
      <c r="B31" s="688" t="s">
        <v>528</v>
      </c>
      <c r="C31" s="319" t="e">
        <f ca="1">ROUND(IF(项目基本情况!B11="自然人",C5*F31,C32+C33+C34),1)</f>
        <v>#N/A</v>
      </c>
      <c r="D31" s="3296" t="s">
        <v>1168</v>
      </c>
      <c r="E31" s="3295" t="s">
        <v>1207</v>
      </c>
      <c r="F31" s="712" t="str">
        <f ca="1">IF(项目基本情况!B11="企业","",IF(INDIRECT("'数据-取费表'!c"&amp;$G$1)="住宅",4.5%,IF(F6*F7*F8/12&gt;20000,11%,6%)))</f>
        <v/>
      </c>
      <c r="G31" s="2315"/>
      <c r="H31" s="1282"/>
      <c r="I31" s="1283"/>
      <c r="J31" s="1284"/>
      <c r="K31" s="1285"/>
      <c r="L31" s="1286"/>
      <c r="M31" s="1287"/>
    </row>
    <row r="32" spans="1:37" ht="18" customHeight="1">
      <c r="A32" s="2465" t="s">
        <v>2740</v>
      </c>
      <c r="B32" s="688" t="s">
        <v>1170</v>
      </c>
      <c r="C32" s="319" t="e">
        <f ca="1">IF(项目基本情况!B11="自然人","——",ROUND(C5*F32/(1+'数据-取费表'!B42),2))</f>
        <v>#N/A</v>
      </c>
      <c r="D32" s="3295" t="s">
        <v>1171</v>
      </c>
      <c r="E32" s="688" t="s">
        <v>530</v>
      </c>
      <c r="F32" s="721">
        <f>'数据-取费表'!B41</f>
        <v>5.6000000000000001E-2</v>
      </c>
      <c r="G32" s="2315"/>
      <c r="H32" s="1288"/>
      <c r="I32" s="1289"/>
      <c r="J32" s="1290"/>
      <c r="K32" s="1291"/>
      <c r="L32" s="1292"/>
      <c r="M32" s="1293"/>
    </row>
    <row r="33" spans="1:18" ht="18" customHeight="1">
      <c r="A33" s="2465" t="s">
        <v>3008</v>
      </c>
      <c r="B33" s="688" t="s">
        <v>1173</v>
      </c>
      <c r="C33" s="319" t="e">
        <f ca="1">IF(项目基本情况!B11="自然人","——",IF(D33="按租金收入计税",ROUND(C5*F33,2),IF(D33="按房产原值计税",ROUND(C29*F33*0.7,2),INDIRECT("'数据-取费表'!Aj"&amp;$G$1))))</f>
        <v>#N/A</v>
      </c>
      <c r="D33" s="1305" t="s">
        <v>2793</v>
      </c>
      <c r="E33" s="688" t="s">
        <v>530</v>
      </c>
      <c r="F33" s="711">
        <f>IF(D33="按票据","——",IF(D33="按租金收入计税",'数据-取费表'!B51,'数据-取费表'!B50))</f>
        <v>1.2E-2</v>
      </c>
      <c r="G33" s="2315"/>
      <c r="H33" s="1294"/>
      <c r="I33" s="2920"/>
      <c r="J33" s="2921"/>
      <c r="K33" s="1295"/>
      <c r="L33" s="1294"/>
      <c r="M33" s="1294"/>
    </row>
    <row r="34" spans="1:18" ht="18" customHeight="1">
      <c r="A34" s="2657" t="s">
        <v>3009</v>
      </c>
      <c r="B34" s="500" t="s">
        <v>1175</v>
      </c>
      <c r="C34" s="320" t="e">
        <f ca="1">IF(项目基本情况!B11="自然人","——",ROUND(F34*F35/10000,2))</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2750</v>
      </c>
      <c r="B36" s="688" t="s">
        <v>1183</v>
      </c>
      <c r="C36" s="319" t="e">
        <f ca="1">ROUND(C29*F36,1)</f>
        <v>#N/A</v>
      </c>
      <c r="D36" s="3295" t="s">
        <v>1213</v>
      </c>
      <c r="E36" s="688" t="s">
        <v>530</v>
      </c>
      <c r="F36" s="718" t="e">
        <f ca="1">INDIRECT("'数据-取费表'!Ak"&amp;$G$1)</f>
        <v>#N/A</v>
      </c>
      <c r="G36" s="2315"/>
      <c r="H36" s="1294"/>
      <c r="I36" s="2920"/>
      <c r="J36" s="2921"/>
      <c r="K36" s="1298"/>
      <c r="L36" s="1294"/>
      <c r="M36" s="1294"/>
    </row>
    <row r="37" spans="1:18" ht="18" customHeight="1">
      <c r="A37" s="2465" t="s">
        <v>3013</v>
      </c>
      <c r="B37" s="688" t="s">
        <v>533</v>
      </c>
      <c r="C37" s="319" t="e">
        <f ca="1">ROUND(C13*F37,1)</f>
        <v>#N/A</v>
      </c>
      <c r="D37" s="3295" t="s">
        <v>534</v>
      </c>
      <c r="E37" s="688" t="s">
        <v>530</v>
      </c>
      <c r="F37" s="720" t="e">
        <f ca="1">INDIRECT("'数据-取费表'!Al"&amp;$G$1)</f>
        <v>#N/A</v>
      </c>
      <c r="G37" s="2315"/>
      <c r="H37" s="1294"/>
      <c r="I37" s="2920"/>
      <c r="J37" s="2921"/>
      <c r="K37" s="1298"/>
      <c r="L37" s="1294"/>
      <c r="M37" s="1294"/>
    </row>
    <row r="38" spans="1:18" ht="18" customHeight="1" thickBot="1">
      <c r="A38" s="2714" t="s">
        <v>3014</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2723</v>
      </c>
      <c r="B39" s="2719" t="s">
        <v>542</v>
      </c>
      <c r="C39" s="696" t="e">
        <f ca="1">C5-C30</f>
        <v>#N/A</v>
      </c>
      <c r="D39" s="2720" t="s">
        <v>543</v>
      </c>
      <c r="E39" s="2721"/>
      <c r="F39" s="2722"/>
      <c r="G39" s="2315"/>
      <c r="H39" s="1294"/>
      <c r="I39" s="2920"/>
      <c r="J39" s="2921"/>
      <c r="K39" s="1299"/>
      <c r="L39" s="1294"/>
      <c r="M39" s="1294"/>
    </row>
    <row r="40" spans="1:18" ht="18" customHeight="1">
      <c r="A40" s="685" t="s">
        <v>2726</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2733</v>
      </c>
      <c r="B43" s="725" t="s">
        <v>548</v>
      </c>
      <c r="C43" s="726" t="e">
        <f ca="1">ROUND(C40*10000/F43,0)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2" t="s">
        <v>2876</v>
      </c>
      <c r="P45" s="1300"/>
      <c r="Q45" s="1300"/>
      <c r="R45" s="1300"/>
    </row>
    <row r="46" spans="1:18" s="1480" customFormat="1" ht="21" thickBot="1">
      <c r="A46" s="2423" t="s">
        <v>2695</v>
      </c>
      <c r="B46" s="2424"/>
      <c r="C46" s="2761" t="e">
        <f ca="1">C68-C40</f>
        <v>#N/A</v>
      </c>
      <c r="D46" s="2762" t="str">
        <f>C2</f>
        <v>万元</v>
      </c>
      <c r="E46" s="1437"/>
      <c r="F46" s="1437"/>
      <c r="I46" s="2609" t="s">
        <v>2809</v>
      </c>
      <c r="J46" s="2610"/>
      <c r="K46" s="2611"/>
      <c r="L46" s="2613" t="e">
        <f ca="1">IF(M47="住宅",0,IF(L48&gt;J51,L60,J60))</f>
        <v>#N/A</v>
      </c>
      <c r="O46" s="2625" t="s">
        <v>2854</v>
      </c>
      <c r="P46" s="2626" t="s">
        <v>2855</v>
      </c>
      <c r="Q46" s="2627" t="s">
        <v>2853</v>
      </c>
      <c r="R46" s="2627" t="s">
        <v>2856</v>
      </c>
    </row>
    <row r="47" spans="1:18" s="1480" customFormat="1" ht="15.75" thickBot="1">
      <c r="A47" s="2425" t="s">
        <v>1148</v>
      </c>
      <c r="B47" s="2461" t="s">
        <v>1149</v>
      </c>
      <c r="C47" s="2766" t="s">
        <v>1150</v>
      </c>
      <c r="D47" s="2461" t="s">
        <v>1151</v>
      </c>
      <c r="E47" s="2565" t="s">
        <v>1152</v>
      </c>
      <c r="F47" s="2566"/>
      <c r="G47" s="1482"/>
      <c r="I47" s="2584" t="s">
        <v>2802</v>
      </c>
      <c r="J47" s="2585" t="s">
        <v>131</v>
      </c>
      <c r="K47" s="2594" t="s">
        <v>2825</v>
      </c>
      <c r="L47" s="2595" t="e">
        <f ca="1">INDIRECT("'数据-取费表'!d"&amp;$G$1)</f>
        <v>#N/A</v>
      </c>
      <c r="M47" s="2615" t="str">
        <f>IF(ISNUMBER(FIND("住宅",C1)),"住宅","非住宅")</f>
        <v>非住宅</v>
      </c>
      <c r="O47" s="2618" t="s">
        <v>2838</v>
      </c>
      <c r="P47" s="2628" t="s">
        <v>2857</v>
      </c>
      <c r="Q47" s="2619" t="e">
        <f ca="1">C40+J29</f>
        <v>#N/A</v>
      </c>
      <c r="R47" s="2619" t="s">
        <v>2858</v>
      </c>
    </row>
    <row r="48" spans="1:18" s="1480" customFormat="1" ht="47.25" thickBot="1">
      <c r="A48" s="2747" t="s">
        <v>3019</v>
      </c>
      <c r="B48" s="686" t="s">
        <v>2702</v>
      </c>
      <c r="C48" s="3298" t="e">
        <f ca="1">C49+C53+C55</f>
        <v>#N/A</v>
      </c>
      <c r="D48" s="2751"/>
      <c r="E48" s="2752"/>
      <c r="F48" s="2445"/>
      <c r="G48" s="1482"/>
      <c r="H48" s="1483"/>
      <c r="I48" s="2574" t="s">
        <v>2803</v>
      </c>
      <c r="J48" s="2586" t="s">
        <v>2804</v>
      </c>
      <c r="K48" s="2596" t="s">
        <v>908</v>
      </c>
      <c r="L48" s="2192" t="e">
        <f ca="1">INDIRECT("'数据-取费表'!f"&amp;$G$1)</f>
        <v>#N/A</v>
      </c>
      <c r="O48" s="2618" t="s">
        <v>2839</v>
      </c>
      <c r="P48" s="2628" t="s">
        <v>2859</v>
      </c>
      <c r="Q48" s="2619" t="e">
        <f ca="1">J60</f>
        <v>#N/A</v>
      </c>
      <c r="R48" s="2619" t="s">
        <v>2867</v>
      </c>
    </row>
    <row r="49" spans="1:18" s="1480" customFormat="1" ht="16.5" thickBot="1">
      <c r="A49" s="2458" t="s">
        <v>3020</v>
      </c>
      <c r="B49" s="2750" t="s">
        <v>3022</v>
      </c>
      <c r="C49" s="2759" t="e">
        <f ca="1">ROUND(F49*F51*F50*(1-F52)/10000,0)</f>
        <v>#N/A</v>
      </c>
      <c r="D49" s="2561" t="s">
        <v>2703</v>
      </c>
      <c r="E49" s="2564" t="s">
        <v>2696</v>
      </c>
      <c r="F49" s="2567">
        <v>1500</v>
      </c>
      <c r="G49" s="1484"/>
      <c r="H49" s="1483"/>
      <c r="I49" s="2574" t="s">
        <v>2823</v>
      </c>
      <c r="J49" s="3312">
        <f>'收益法 (车位)'!J49</f>
        <v>2018</v>
      </c>
      <c r="K49" s="2597" t="s">
        <v>2828</v>
      </c>
      <c r="L49" s="2598">
        <v>5000</v>
      </c>
      <c r="O49" s="2620" t="s">
        <v>2840</v>
      </c>
      <c r="P49" s="2628" t="s">
        <v>2860</v>
      </c>
      <c r="Q49" s="2619" t="e">
        <f ca="1">C29</f>
        <v>#N/A</v>
      </c>
      <c r="R49" s="2619" t="s">
        <v>2858</v>
      </c>
    </row>
    <row r="50" spans="1:18" s="1480" customFormat="1" ht="15.75" thickBot="1">
      <c r="A50" s="2459"/>
      <c r="B50" s="2462"/>
      <c r="C50" s="2767"/>
      <c r="D50" s="2432"/>
      <c r="E50" s="2562" t="s">
        <v>1154</v>
      </c>
      <c r="F50" s="2563" t="e">
        <f ca="1">F7</f>
        <v>#N/A</v>
      </c>
      <c r="H50" s="1483"/>
      <c r="I50" s="2574" t="s">
        <v>2805</v>
      </c>
      <c r="J50" s="2588">
        <f>SUMPRODUCT((I63:I65=J47)*(J62:L62=J48)*(J63:L65))</f>
        <v>60</v>
      </c>
      <c r="K50" s="2597" t="s">
        <v>2829</v>
      </c>
      <c r="L50" s="2598">
        <v>0</v>
      </c>
      <c r="M50" s="2592"/>
      <c r="O50" s="2620" t="s">
        <v>2841</v>
      </c>
      <c r="P50" s="2628" t="s">
        <v>2868</v>
      </c>
      <c r="Q50" s="2621">
        <f>J58</f>
        <v>0.4</v>
      </c>
      <c r="R50" s="2619"/>
    </row>
    <row r="51" spans="1:18" s="1480" customFormat="1" ht="15.75" thickBot="1">
      <c r="A51" s="2460"/>
      <c r="B51" s="2462"/>
      <c r="C51" s="2463"/>
      <c r="D51" s="2432"/>
      <c r="E51" s="2464" t="s">
        <v>1155</v>
      </c>
      <c r="F51" s="689" t="e">
        <f ca="1">F8</f>
        <v>#N/A</v>
      </c>
      <c r="I51" s="2589" t="s">
        <v>2810</v>
      </c>
      <c r="J51" s="2590">
        <f>IF(J49="",J50,J49+J50-YEAR('数据-取费表'!B2))</f>
        <v>61</v>
      </c>
      <c r="K51" s="2599" t="s">
        <v>2830</v>
      </c>
      <c r="L51" s="2612" t="e">
        <f ca="1">ROUND(-PV(INDIRECT("'数据-取费表'!h"&amp;$G$1),L48,(C39-C13*C76),0),0)</f>
        <v>#N/A</v>
      </c>
      <c r="M51" s="2593"/>
      <c r="O51" s="2620" t="s">
        <v>2842</v>
      </c>
      <c r="P51" s="2628" t="s">
        <v>2869</v>
      </c>
      <c r="Q51" s="2621">
        <f>J52</f>
        <v>0.09</v>
      </c>
      <c r="R51" s="2619"/>
    </row>
    <row r="52" spans="1:18" s="1480" customFormat="1" ht="15.75" thickBot="1">
      <c r="A52" s="2460"/>
      <c r="B52" s="2462"/>
      <c r="C52" s="2463"/>
      <c r="D52" s="2432"/>
      <c r="E52" s="2464" t="s">
        <v>1156</v>
      </c>
      <c r="F52" s="2560">
        <v>0.1</v>
      </c>
      <c r="I52" s="2591" t="s">
        <v>2834</v>
      </c>
      <c r="J52" s="2605">
        <v>0.09</v>
      </c>
      <c r="K52" s="2591" t="s">
        <v>2818</v>
      </c>
      <c r="L52" s="2605">
        <v>0.04</v>
      </c>
      <c r="M52" s="2424"/>
      <c r="O52" s="2620" t="s">
        <v>2843</v>
      </c>
      <c r="P52" s="2628" t="s">
        <v>2861</v>
      </c>
      <c r="Q52" s="2619" t="e">
        <f ca="1">J53</f>
        <v>#N/A</v>
      </c>
      <c r="R52" s="2619" t="s">
        <v>2862</v>
      </c>
    </row>
    <row r="53" spans="1:18" s="1480" customFormat="1" ht="43.5" thickBot="1">
      <c r="A53" s="2865" t="s">
        <v>3021</v>
      </c>
      <c r="B53" s="437" t="s">
        <v>2931</v>
      </c>
      <c r="C53" s="702" t="e">
        <f ca="1">ROUND(IF(F53="押一",F49*F51*F50/12*F11,IF(F53="押二",F49*F51*F50/12*2*F11,IF(F53="押三",F49*F51*F50/12*3*F11,C54*F11)))/10000,0)</f>
        <v>#N/A</v>
      </c>
      <c r="D53" s="2669" t="s">
        <v>2939</v>
      </c>
      <c r="E53" s="2121" t="s">
        <v>2933</v>
      </c>
      <c r="F53" s="2867" t="s">
        <v>3025</v>
      </c>
      <c r="I53" s="2601" t="s">
        <v>2836</v>
      </c>
      <c r="J53" s="2602" t="e">
        <f ca="1">IF(M47="住宅",J51,MIN(J51,L48))</f>
        <v>#N/A</v>
      </c>
      <c r="K53" s="366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64"/>
      <c r="O53" s="2618" t="s">
        <v>2844</v>
      </c>
      <c r="P53" s="2628" t="s">
        <v>2863</v>
      </c>
      <c r="Q53" s="2619" t="e">
        <f ca="1">Q47+Q48</f>
        <v>#N/A</v>
      </c>
      <c r="R53" s="2619" t="s">
        <v>2845</v>
      </c>
    </row>
    <row r="54" spans="1:18" s="1480" customFormat="1" ht="16.5" thickBot="1">
      <c r="A54" s="2866"/>
      <c r="B54" s="2659" t="s">
        <v>3099</v>
      </c>
      <c r="C54" s="2442"/>
      <c r="D54" s="2669"/>
      <c r="E54" s="3297"/>
      <c r="F54" s="2568"/>
      <c r="I54" s="2439"/>
      <c r="J54" s="2600"/>
      <c r="K54" s="2600"/>
      <c r="L54" s="2600"/>
      <c r="M54" s="1484"/>
      <c r="O54" s="2622" t="s">
        <v>2870</v>
      </c>
      <c r="P54" s="1300"/>
      <c r="Q54" s="1300"/>
      <c r="R54" s="1300"/>
    </row>
    <row r="55" spans="1:18" s="1480" customFormat="1" ht="16.5" thickBot="1">
      <c r="A55" s="2706" t="s">
        <v>2944</v>
      </c>
      <c r="B55" s="2707" t="s">
        <v>2932</v>
      </c>
      <c r="C55" s="2708"/>
      <c r="D55" s="2669"/>
      <c r="E55" s="3297"/>
      <c r="F55" s="2568"/>
      <c r="I55" s="2571" t="s">
        <v>2811</v>
      </c>
      <c r="J55" s="2572"/>
      <c r="K55" s="2582" t="s">
        <v>2812</v>
      </c>
      <c r="L55" s="2604" t="s">
        <v>2852</v>
      </c>
      <c r="O55" s="2625" t="s">
        <v>2854</v>
      </c>
      <c r="P55" s="2626" t="s">
        <v>2855</v>
      </c>
      <c r="Q55" s="2627" t="s">
        <v>2853</v>
      </c>
      <c r="R55" s="2627" t="s">
        <v>2856</v>
      </c>
    </row>
    <row r="56" spans="1:18" s="1480" customFormat="1" ht="44.25" thickTop="1" thickBot="1">
      <c r="A56" s="2436">
        <v>2</v>
      </c>
      <c r="B56" s="2437" t="s">
        <v>1157</v>
      </c>
      <c r="C56" s="612" t="e">
        <f ca="1">C13</f>
        <v>#N/A</v>
      </c>
      <c r="D56" s="2734"/>
      <c r="E56" s="2438"/>
      <c r="F56" s="2568"/>
      <c r="I56" s="2573" t="s">
        <v>2813</v>
      </c>
      <c r="J56" s="2603" t="s">
        <v>44</v>
      </c>
      <c r="K56" s="2574" t="s">
        <v>2817</v>
      </c>
      <c r="L56" s="2192" t="e">
        <f ca="1">IF(L48&lt;J51,"——",L48-J51)</f>
        <v>#N/A</v>
      </c>
      <c r="O56" s="2618" t="s">
        <v>2838</v>
      </c>
      <c r="P56" s="2628" t="s">
        <v>2857</v>
      </c>
      <c r="Q56" s="2619" t="e">
        <f ca="1">C40+J29</f>
        <v>#N/A</v>
      </c>
      <c r="R56" s="2619" t="s">
        <v>2858</v>
      </c>
    </row>
    <row r="57" spans="1:18" s="1480" customFormat="1" ht="29.25" thickBot="1">
      <c r="A57" s="2569"/>
      <c r="B57" s="2429" t="s">
        <v>1206</v>
      </c>
      <c r="C57" s="618" t="e">
        <f ca="1">C29</f>
        <v>#N/A</v>
      </c>
      <c r="D57" s="2440"/>
      <c r="E57" s="2441"/>
      <c r="F57" s="2570"/>
      <c r="I57" s="2575" t="s">
        <v>2835</v>
      </c>
      <c r="J57" s="2579" t="e">
        <f ca="1">IF(OR(M47="住宅",J51&lt;L48,J56="是"),"——",J51-L48)</f>
        <v>#N/A</v>
      </c>
      <c r="K57" s="2574" t="s">
        <v>3307</v>
      </c>
      <c r="L57" s="2192" t="e">
        <f ca="1">IF(L48&lt;J51,"——",IF(L55="比较法",L49,IF(L55="基准地价",L50,L51)))</f>
        <v>#N/A</v>
      </c>
      <c r="O57" s="2618" t="s">
        <v>2839</v>
      </c>
      <c r="P57" s="2628" t="s">
        <v>2864</v>
      </c>
      <c r="Q57" s="2619" t="e">
        <f ca="1">L60</f>
        <v>#N/A</v>
      </c>
      <c r="R57" s="2619" t="s">
        <v>2879</v>
      </c>
    </row>
    <row r="58" spans="1:18" s="1480" customFormat="1" ht="29.25" thickBot="1">
      <c r="A58" s="701" t="s">
        <v>2708</v>
      </c>
      <c r="B58" s="2437" t="s">
        <v>1164</v>
      </c>
      <c r="C58" s="702" t="e">
        <f ca="1">ROUND(C59+C64+C65+C66,0)</f>
        <v>#N/A</v>
      </c>
      <c r="D58" s="2443" t="s">
        <v>1165</v>
      </c>
      <c r="E58" s="2444"/>
      <c r="F58" s="2445"/>
      <c r="I58" s="2575" t="s">
        <v>2814</v>
      </c>
      <c r="J58" s="3314">
        <f>'收益法 (车位)'!J58</f>
        <v>0.4</v>
      </c>
      <c r="K58" s="2599" t="s">
        <v>3308</v>
      </c>
      <c r="L58" s="2192">
        <f ca="1">IF(ISERROR(POWER(1+L52,L47-L48)*(POWER(1+L52,L48)-1)/(POWER(1+L52,L47)-1)),0,POWER(1+L52,L47-L48)*(POWER(1+L52,L48)-1)/(POWER(1+L52,L47)-1))</f>
        <v>0</v>
      </c>
      <c r="O58" s="2620" t="s">
        <v>2840</v>
      </c>
      <c r="P58" s="2628" t="s">
        <v>2871</v>
      </c>
      <c r="Q58" s="2619">
        <f>IF(L55="比较法",L49,IF(L55="基准地价",L50,0))</f>
        <v>5000</v>
      </c>
      <c r="R58" s="2619" t="s">
        <v>2858</v>
      </c>
    </row>
    <row r="59" spans="1:18" s="1480" customFormat="1" ht="29.25" thickBot="1">
      <c r="A59" s="2465" t="s">
        <v>2743</v>
      </c>
      <c r="B59" s="2429" t="s">
        <v>528</v>
      </c>
      <c r="C59" s="319" t="e">
        <f ca="1">ROUND(IF(项目基本情况!B11="自然人",C48*F59,C60+C61+C62),1)</f>
        <v>#N/A</v>
      </c>
      <c r="D59" s="2446" t="s">
        <v>1168</v>
      </c>
      <c r="E59" s="2447" t="s">
        <v>1169</v>
      </c>
      <c r="F59" s="712" t="str">
        <f ca="1">IF(项目基本情况!B11="企业","",IF(INDIRECT("'数据-取费表'!c"&amp;$G$1)="住宅",4.5%,IF(F49*F50*F51/12&gt;20000,11%,6%)))</f>
        <v/>
      </c>
      <c r="I59" s="2575" t="s">
        <v>2815</v>
      </c>
      <c r="J59" s="2579" t="e">
        <f ca="1">IF(OR(M47="住宅",J51&lt;L48,J56="是"),"——",ROUND(C29*J58,0))</f>
        <v>#N/A</v>
      </c>
      <c r="K59" s="2599" t="s">
        <v>3309</v>
      </c>
      <c r="L59" s="2192">
        <f ca="1">IF(ISERROR(POWER(1+L52,L47-J51)*(POWER(1+L52,J51)-1)/(POWER(1+L52,L47)-1)),0,POWER(1+L52,L47-J51)*(POWER(1+L52,J51)-1)/(POWER(1+L52,L47)-1))</f>
        <v>0</v>
      </c>
      <c r="O59" s="2620" t="s">
        <v>2841</v>
      </c>
      <c r="P59" s="2628" t="s">
        <v>2872</v>
      </c>
      <c r="Q59" s="2621">
        <f>L52</f>
        <v>0.04</v>
      </c>
      <c r="R59" s="2619"/>
    </row>
    <row r="60" spans="1:18" s="1480" customFormat="1" ht="20.25" thickBot="1">
      <c r="A60" s="2465" t="s">
        <v>2740</v>
      </c>
      <c r="B60" s="2429" t="s">
        <v>1170</v>
      </c>
      <c r="C60" s="319" t="e">
        <f ca="1">IF(项目基本情况!B11="自然人","——",ROUND(C48*F60/(1+'数据-取费表'!B42),2))</f>
        <v>#N/A</v>
      </c>
      <c r="D60" s="2447" t="s">
        <v>1171</v>
      </c>
      <c r="E60" s="2429" t="s">
        <v>530</v>
      </c>
      <c r="F60" s="721">
        <f t="shared" ref="F60:F66" si="0">F32</f>
        <v>5.6000000000000001E-2</v>
      </c>
      <c r="I60" s="2576" t="s">
        <v>2816</v>
      </c>
      <c r="J60" s="2581" t="e">
        <f ca="1">IF(OR(M47="住宅",J51&lt;L48,J56="是"),"0",ROUND(J59/(1+J52)^J53,0))</f>
        <v>#N/A</v>
      </c>
      <c r="K60" s="2583" t="s">
        <v>2819</v>
      </c>
      <c r="L60" s="2581" t="e">
        <f ca="1">IF(OR(M47="住宅",L48&lt;J51),0,ROUND(L57*(L58/L59-1),0))</f>
        <v>#N/A</v>
      </c>
      <c r="O60" s="2620" t="s">
        <v>2842</v>
      </c>
      <c r="P60" s="2628" t="s">
        <v>2873</v>
      </c>
      <c r="Q60" s="2619">
        <f ca="1">L58</f>
        <v>0</v>
      </c>
      <c r="R60" s="2619" t="s">
        <v>2847</v>
      </c>
    </row>
    <row r="61" spans="1:18" s="1480" customFormat="1" ht="20.25" thickBot="1">
      <c r="A61" s="2465" t="s">
        <v>2741</v>
      </c>
      <c r="B61" s="2429" t="s">
        <v>1173</v>
      </c>
      <c r="C61" s="319" t="e">
        <f ca="1">IF(项目基本情况!B11="自然人","——",IF(D61="按租金收入计税",ROUND(C48*F61,2),IF(D61="按房产原值计税",ROUND(C57*F61*0.7,2),INDIRECT("'数据-取费表'!Aj"&amp;$G$1))))</f>
        <v>#N/A</v>
      </c>
      <c r="D61" s="1305" t="s">
        <v>2793</v>
      </c>
      <c r="E61" s="2429" t="s">
        <v>530</v>
      </c>
      <c r="F61" s="711">
        <f t="shared" si="0"/>
        <v>1.2E-2</v>
      </c>
      <c r="I61" s="2439"/>
      <c r="J61" s="2439"/>
      <c r="K61" s="2439"/>
      <c r="L61" s="2439"/>
      <c r="O61" s="2620" t="s">
        <v>2843</v>
      </c>
      <c r="P61" s="2628" t="s">
        <v>2874</v>
      </c>
      <c r="Q61" s="2619">
        <f ca="1">L59</f>
        <v>0</v>
      </c>
      <c r="R61" s="2619" t="s">
        <v>2848</v>
      </c>
    </row>
    <row r="62" spans="1:18" s="1480" customFormat="1" ht="15.75" thickBot="1">
      <c r="A62" s="2465" t="s">
        <v>2742</v>
      </c>
      <c r="B62" s="2428" t="s">
        <v>1175</v>
      </c>
      <c r="C62" s="320" t="e">
        <f ca="1">IF(项目基本情况!B11="自然人","——",ROUND(F62*F63/10000,2))</f>
        <v>#N/A</v>
      </c>
      <c r="D62" s="2448" t="s">
        <v>1176</v>
      </c>
      <c r="E62" s="2429" t="s">
        <v>1177</v>
      </c>
      <c r="F62" s="715">
        <f t="shared" si="0"/>
        <v>18</v>
      </c>
      <c r="I62" s="2577" t="s">
        <v>2806</v>
      </c>
      <c r="J62" s="2578" t="s">
        <v>2807</v>
      </c>
      <c r="K62" s="2578" t="s">
        <v>2808</v>
      </c>
      <c r="L62" s="2578" t="s">
        <v>2804</v>
      </c>
      <c r="O62" s="2618" t="s">
        <v>2844</v>
      </c>
      <c r="P62" s="2628" t="s">
        <v>2863</v>
      </c>
      <c r="Q62" s="2619" t="e">
        <f ca="1">Q56+Q57</f>
        <v>#N/A</v>
      </c>
      <c r="R62" s="2619" t="s">
        <v>2845</v>
      </c>
    </row>
    <row r="63" spans="1:18" s="1480" customFormat="1" ht="16.5" thickBot="1">
      <c r="A63" s="716"/>
      <c r="B63" s="2435"/>
      <c r="C63" s="324"/>
      <c r="D63" s="2449"/>
      <c r="E63" s="2429" t="s">
        <v>1181</v>
      </c>
      <c r="F63" s="689" t="e">
        <f t="shared" ca="1" si="0"/>
        <v>#N/A</v>
      </c>
      <c r="I63" s="2577" t="s">
        <v>2820</v>
      </c>
      <c r="J63" s="2578">
        <v>70</v>
      </c>
      <c r="K63" s="2578">
        <v>50</v>
      </c>
      <c r="L63" s="2578">
        <v>80</v>
      </c>
      <c r="O63" s="2622" t="s">
        <v>2877</v>
      </c>
      <c r="P63" s="1300"/>
      <c r="Q63" s="1300"/>
      <c r="R63" s="1300"/>
    </row>
    <row r="64" spans="1:18" s="1480" customFormat="1" ht="15.75" thickBot="1">
      <c r="A64" s="2465" t="s">
        <v>2750</v>
      </c>
      <c r="B64" s="2429" t="s">
        <v>1183</v>
      </c>
      <c r="C64" s="319" t="e">
        <f ca="1">ROUND(C57*F64,1)</f>
        <v>#N/A</v>
      </c>
      <c r="D64" s="2447" t="s">
        <v>1213</v>
      </c>
      <c r="E64" s="2429" t="s">
        <v>530</v>
      </c>
      <c r="F64" s="718" t="e">
        <f t="shared" ca="1" si="0"/>
        <v>#N/A</v>
      </c>
      <c r="I64" s="2577" t="s">
        <v>126</v>
      </c>
      <c r="J64" s="2578">
        <v>50</v>
      </c>
      <c r="K64" s="2578">
        <v>35</v>
      </c>
      <c r="L64" s="2578">
        <v>60</v>
      </c>
      <c r="O64" s="2625" t="s">
        <v>2854</v>
      </c>
      <c r="P64" s="2626" t="s">
        <v>2855</v>
      </c>
      <c r="Q64" s="2627" t="s">
        <v>2853</v>
      </c>
      <c r="R64" s="2627" t="s">
        <v>2856</v>
      </c>
    </row>
    <row r="65" spans="1:18" s="1480" customFormat="1" ht="15.75" thickBot="1">
      <c r="A65" s="2465" t="s">
        <v>2744</v>
      </c>
      <c r="B65" s="2429" t="s">
        <v>533</v>
      </c>
      <c r="C65" s="319" t="e">
        <f ca="1">ROUND(C56*F65,1)</f>
        <v>#N/A</v>
      </c>
      <c r="D65" s="2447" t="s">
        <v>534</v>
      </c>
      <c r="E65" s="2429" t="s">
        <v>530</v>
      </c>
      <c r="F65" s="720" t="e">
        <f t="shared" ca="1" si="0"/>
        <v>#N/A</v>
      </c>
      <c r="I65" s="2577" t="s">
        <v>2822</v>
      </c>
      <c r="J65" s="2578">
        <v>40</v>
      </c>
      <c r="K65" s="2578">
        <v>30</v>
      </c>
      <c r="L65" s="2578">
        <v>50</v>
      </c>
      <c r="O65" s="2618" t="s">
        <v>2838</v>
      </c>
      <c r="P65" s="2628" t="s">
        <v>2857</v>
      </c>
      <c r="Q65" s="2619" t="e">
        <f ca="1">C40+J29</f>
        <v>#N/A</v>
      </c>
      <c r="R65" s="2619" t="s">
        <v>2858</v>
      </c>
    </row>
    <row r="66" spans="1:18" s="1480" customFormat="1" ht="20.25" thickBot="1">
      <c r="A66" s="2465" t="s">
        <v>2745</v>
      </c>
      <c r="B66" s="2429" t="s">
        <v>532</v>
      </c>
      <c r="C66" s="319" t="e">
        <f ca="1">ROUND(C48*F66,1)</f>
        <v>#N/A</v>
      </c>
      <c r="D66" s="2447" t="s">
        <v>536</v>
      </c>
      <c r="E66" s="2429" t="s">
        <v>530</v>
      </c>
      <c r="F66" s="698" t="e">
        <f t="shared" ca="1" si="0"/>
        <v>#N/A</v>
      </c>
      <c r="O66" s="2618" t="s">
        <v>2839</v>
      </c>
      <c r="P66" s="2628" t="s">
        <v>2864</v>
      </c>
      <c r="Q66" s="2619" t="e">
        <f ca="1">L60</f>
        <v>#N/A</v>
      </c>
      <c r="R66" s="2619" t="s">
        <v>2846</v>
      </c>
    </row>
    <row r="67" spans="1:18" s="1480" customFormat="1" ht="24.75" thickBot="1">
      <c r="A67" s="2436" t="s">
        <v>2723</v>
      </c>
      <c r="B67" s="2450" t="s">
        <v>542</v>
      </c>
      <c r="C67" s="702" t="e">
        <f ca="1">C48-C58</f>
        <v>#N/A</v>
      </c>
      <c r="D67" s="2446" t="s">
        <v>543</v>
      </c>
      <c r="E67" s="2451"/>
      <c r="F67" s="2452"/>
      <c r="O67" s="2620" t="s">
        <v>2840</v>
      </c>
      <c r="P67" s="2628" t="s">
        <v>2871</v>
      </c>
      <c r="Q67" s="2623" t="e">
        <f ca="1">L51</f>
        <v>#N/A</v>
      </c>
      <c r="R67" s="2624" t="s">
        <v>2881</v>
      </c>
    </row>
    <row r="68" spans="1:18" s="1480" customFormat="1" ht="20.25" thickBot="1">
      <c r="A68" s="2426" t="s">
        <v>2726</v>
      </c>
      <c r="B68" s="2427" t="s">
        <v>544</v>
      </c>
      <c r="C68" s="687" t="e">
        <f ca="1">ROUND(C67*(1-((1+F70)/(1+F68))^F69)/(F68-F70),0)</f>
        <v>#N/A</v>
      </c>
      <c r="D68" s="2448" t="s">
        <v>538</v>
      </c>
      <c r="E68" s="2429" t="s">
        <v>539</v>
      </c>
      <c r="F68" s="698" t="e">
        <f ca="1">F40</f>
        <v>#N/A</v>
      </c>
      <c r="O68" s="2620" t="s">
        <v>2841</v>
      </c>
      <c r="P68" s="2629" t="s">
        <v>2875</v>
      </c>
      <c r="Q68" s="2619" t="e">
        <f ca="1">ROUND(Q69-Q70*Q71,0)</f>
        <v>#N/A</v>
      </c>
      <c r="R68" s="2619" t="s">
        <v>2880</v>
      </c>
    </row>
    <row r="69" spans="1:18" s="1480" customFormat="1" ht="15.75" thickBot="1">
      <c r="A69" s="2430"/>
      <c r="B69" s="2431"/>
      <c r="C69" s="692"/>
      <c r="D69" s="2453" t="s">
        <v>1198</v>
      </c>
      <c r="E69" s="2429" t="s">
        <v>546</v>
      </c>
      <c r="F69" s="723" t="e">
        <f ca="1">F41</f>
        <v>#N/A</v>
      </c>
      <c r="O69" s="2620" t="s">
        <v>2849</v>
      </c>
      <c r="P69" s="2629" t="s">
        <v>2865</v>
      </c>
      <c r="Q69" s="2619" t="e">
        <f ca="1">C39</f>
        <v>#N/A</v>
      </c>
      <c r="R69" s="2619" t="s">
        <v>2858</v>
      </c>
    </row>
    <row r="70" spans="1:18" s="1480" customFormat="1" ht="15.75" thickBot="1">
      <c r="A70" s="2433"/>
      <c r="B70" s="2434"/>
      <c r="C70" s="696"/>
      <c r="D70" s="2449"/>
      <c r="E70" s="2429" t="s">
        <v>547</v>
      </c>
      <c r="F70" s="2560">
        <v>2.5000000000000001E-2</v>
      </c>
      <c r="O70" s="2620" t="s">
        <v>2850</v>
      </c>
      <c r="P70" s="2629" t="s">
        <v>2866</v>
      </c>
      <c r="Q70" s="2619" t="e">
        <f ca="1">C13</f>
        <v>#N/A</v>
      </c>
      <c r="R70" s="2619" t="s">
        <v>2858</v>
      </c>
    </row>
    <row r="71" spans="1:18" s="1480" customFormat="1" ht="15.75" thickBot="1">
      <c r="A71" s="2454" t="s">
        <v>2733</v>
      </c>
      <c r="B71" s="2455" t="s">
        <v>548</v>
      </c>
      <c r="C71" s="726" t="e">
        <f ca="1">ROUND(C68*10000/F71,0)</f>
        <v>#N/A</v>
      </c>
      <c r="D71" s="2456" t="s">
        <v>549</v>
      </c>
      <c r="E71" s="2457" t="s">
        <v>550</v>
      </c>
      <c r="F71" s="729" t="e">
        <f ca="1">F43</f>
        <v>#N/A</v>
      </c>
      <c r="I71" s="2424"/>
      <c r="K71" s="2424"/>
      <c r="O71" s="2620" t="s">
        <v>2851</v>
      </c>
      <c r="P71" s="2629" t="s">
        <v>2878</v>
      </c>
      <c r="Q71" s="2621" t="e">
        <f ca="1">C76</f>
        <v>#N/A</v>
      </c>
      <c r="R71" s="2619"/>
    </row>
    <row r="72" spans="1:18" s="1480" customFormat="1" ht="15.75" thickBot="1">
      <c r="B72" s="1485"/>
      <c r="C72" s="1485"/>
      <c r="I72" s="2424"/>
      <c r="O72" s="2620" t="s">
        <v>2842</v>
      </c>
      <c r="P72" s="2628" t="s">
        <v>2872</v>
      </c>
      <c r="Q72" s="2621">
        <f>L52</f>
        <v>0.04</v>
      </c>
      <c r="R72" s="2619"/>
    </row>
    <row r="73" spans="1:18" ht="20.25" thickBot="1">
      <c r="A73" s="1480"/>
      <c r="B73" s="1485"/>
      <c r="C73" s="1485"/>
      <c r="D73" s="1480"/>
      <c r="E73" s="1480"/>
      <c r="F73" s="1480"/>
      <c r="I73" s="2614"/>
      <c r="O73" s="2620" t="s">
        <v>2843</v>
      </c>
      <c r="P73" s="2628" t="s">
        <v>2873</v>
      </c>
      <c r="Q73" s="2619">
        <f ca="1">L58</f>
        <v>0</v>
      </c>
      <c r="R73" s="2619" t="s">
        <v>2847</v>
      </c>
    </row>
    <row r="74" spans="1:18" ht="20.25" thickBot="1">
      <c r="A74" s="1480"/>
      <c r="B74" s="731" t="s">
        <v>551</v>
      </c>
      <c r="C74" s="732"/>
      <c r="D74" s="1480"/>
      <c r="E74" s="1480"/>
      <c r="F74" s="1480"/>
      <c r="O74" s="2620" t="s">
        <v>2882</v>
      </c>
      <c r="P74" s="2628" t="s">
        <v>2874</v>
      </c>
      <c r="Q74" s="2619">
        <f ca="1">L59</f>
        <v>0</v>
      </c>
      <c r="R74" s="2619" t="s">
        <v>2848</v>
      </c>
    </row>
    <row r="75" spans="1:18" ht="15.75" thickBot="1">
      <c r="A75" s="1480"/>
      <c r="B75" s="733" t="s">
        <v>1211</v>
      </c>
      <c r="C75" s="734" t="e">
        <f ca="1">ROUND(C13*C76,0)</f>
        <v>#N/A</v>
      </c>
      <c r="D75" s="1480"/>
      <c r="E75" s="1480"/>
      <c r="F75" s="1480"/>
      <c r="K75" s="1481"/>
      <c r="L75" s="1480"/>
      <c r="O75" s="2618" t="s">
        <v>2844</v>
      </c>
      <c r="P75" s="2628" t="s">
        <v>2863</v>
      </c>
      <c r="Q75" s="2619" t="e">
        <f ca="1">Q65+Q66</f>
        <v>#N/A</v>
      </c>
      <c r="R75" s="2619" t="s">
        <v>2845</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3106</v>
      </c>
      <c r="C79" s="654" t="e">
        <f ca="1">1-C80</f>
        <v>#N/A</v>
      </c>
    </row>
    <row r="80" spans="1:18">
      <c r="B80" s="2912" t="s">
        <v>3105</v>
      </c>
      <c r="C80" s="654" t="e">
        <f ca="1">ROUND(C75/C39,3)</f>
        <v>#N/A</v>
      </c>
    </row>
    <row r="81" spans="2:3">
      <c r="B81" s="650" t="s">
        <v>552</v>
      </c>
      <c r="C81" s="651"/>
    </row>
    <row r="82" spans="2:3">
      <c r="B82" s="2911" t="s">
        <v>3104</v>
      </c>
      <c r="C82" s="655" t="e">
        <f ca="1">1-C83</f>
        <v>#N/A</v>
      </c>
    </row>
    <row r="83" spans="2:3">
      <c r="B83" s="2911" t="s">
        <v>3103</v>
      </c>
      <c r="C83" s="654"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9" t="s">
        <v>3075</v>
      </c>
      <c r="B1" s="2820"/>
      <c r="C1" s="2820"/>
      <c r="D1" s="2820"/>
      <c r="E1" s="2821"/>
    </row>
    <row r="2" spans="1:5" ht="14.25">
      <c r="A2" s="2822" t="s">
        <v>3076</v>
      </c>
      <c r="B2" s="2816" t="e">
        <f ca="1">SUMIF(B6:B13,"&lt;&gt;#ref!",B6:B13)</f>
        <v>#N/A</v>
      </c>
      <c r="C2" s="2817" t="s">
        <v>3073</v>
      </c>
      <c r="D2" s="2818" t="s">
        <v>3078</v>
      </c>
      <c r="E2" s="2826">
        <f>SUM(E6:E13)</f>
        <v>144992.93</v>
      </c>
    </row>
    <row r="3" spans="1:5" ht="14.25">
      <c r="A3" s="2822" t="s">
        <v>3077</v>
      </c>
      <c r="B3" s="2816" t="e">
        <f ca="1">ROUND(B2*10000/E2,0)</f>
        <v>#N/A</v>
      </c>
      <c r="C3" s="2817" t="s">
        <v>3074</v>
      </c>
      <c r="D3" s="2823"/>
      <c r="E3" s="2827"/>
    </row>
    <row r="4" spans="1:5" ht="14.25">
      <c r="A4" s="2830"/>
      <c r="B4" s="2823"/>
      <c r="C4" s="2823"/>
      <c r="D4" s="2823"/>
      <c r="E4" s="2827"/>
    </row>
    <row r="5" spans="1:5">
      <c r="A5" s="2834" t="s">
        <v>3080</v>
      </c>
      <c r="B5" s="3708" t="s">
        <v>3082</v>
      </c>
      <c r="C5" s="3708"/>
      <c r="D5" s="2833"/>
      <c r="E5" s="2835" t="s">
        <v>3081</v>
      </c>
    </row>
    <row r="6" spans="1:5">
      <c r="A6" s="2831" t="str">
        <f>'数据-取费表'!AN6</f>
        <v>比较法-住宅</v>
      </c>
      <c r="B6" s="2825">
        <f ca="1">'数据-取费表'!AO6</f>
        <v>126186</v>
      </c>
      <c r="C6" s="2817" t="s">
        <v>3073</v>
      </c>
      <c r="D6" s="2823"/>
      <c r="E6" s="2826">
        <f>IF(A6=0,0,'数据-取费表'!K6+'数据-取费表'!S6)</f>
        <v>65608.850000000006</v>
      </c>
    </row>
    <row r="7" spans="1:5">
      <c r="A7" s="2831" t="str">
        <f>'数据-取费表'!AN7</f>
        <v>比较法-公寓</v>
      </c>
      <c r="B7" s="2825">
        <f ca="1">'数据-取费表'!AO7</f>
        <v>117726</v>
      </c>
      <c r="C7" s="2817" t="s">
        <v>3073</v>
      </c>
      <c r="D7" s="2823"/>
      <c r="E7" s="2826">
        <f>IF(A7=0,0,'数据-取费表'!K7+'数据-取费表'!S7)</f>
        <v>73063.02</v>
      </c>
    </row>
    <row r="8" spans="1:5">
      <c r="A8" s="2831" t="str">
        <f>'数据-取费表'!AN8</f>
        <v>收益法（商业）</v>
      </c>
      <c r="B8" s="2825" t="e">
        <f ca="1">'数据-取费表'!AO8</f>
        <v>#N/A</v>
      </c>
      <c r="C8" s="2817" t="s">
        <v>3073</v>
      </c>
      <c r="D8" s="2823"/>
      <c r="E8" s="2826">
        <f>IF(A8=0,0,'数据-取费表'!K8+'数据-取费表'!S8)</f>
        <v>0</v>
      </c>
    </row>
    <row r="9" spans="1:5">
      <c r="A9" s="2831" t="str">
        <f>'数据-取费表'!AN9</f>
        <v>*</v>
      </c>
      <c r="B9" s="2825" t="e">
        <f ca="1">'数据-取费表'!AO9</f>
        <v>#REF!</v>
      </c>
      <c r="C9" s="2817" t="s">
        <v>3073</v>
      </c>
      <c r="D9" s="2823"/>
      <c r="E9" s="2826">
        <f>IF(A9=0,0,'数据-取费表'!K9+'数据-取费表'!S9)</f>
        <v>0</v>
      </c>
    </row>
    <row r="10" spans="1:5">
      <c r="A10" s="2831" t="str">
        <f>'数据-取费表'!AN10</f>
        <v>收益法（底商)</v>
      </c>
      <c r="B10" s="2825">
        <f ca="1">'数据-取费表'!AO10</f>
        <v>28432</v>
      </c>
      <c r="C10" s="2817" t="s">
        <v>3073</v>
      </c>
      <c r="D10" s="2823"/>
      <c r="E10" s="2826">
        <f>IF(A10=0,0,'数据-取费表'!K10+'数据-取费表'!S10)</f>
        <v>6321.0599999999995</v>
      </c>
    </row>
    <row r="11" spans="1:5">
      <c r="A11" s="2831" t="str">
        <f>'数据-取费表'!AN11</f>
        <v>收益法（车位)</v>
      </c>
      <c r="B11" s="2825" t="e">
        <f ca="1">'数据-取费表'!AO11</f>
        <v>#N/A</v>
      </c>
      <c r="C11" s="2817" t="s">
        <v>3073</v>
      </c>
      <c r="D11" s="2823"/>
      <c r="E11" s="2826">
        <f>IF(A11=0,0,'数据-取费表'!K11+'数据-取费表'!S11)</f>
        <v>0</v>
      </c>
    </row>
    <row r="12" spans="1:5">
      <c r="A12" s="2831">
        <f>'数据-取费表'!AN12</f>
        <v>0</v>
      </c>
      <c r="B12" s="2825" t="e">
        <f ca="1">'数据-取费表'!AO12</f>
        <v>#REF!</v>
      </c>
      <c r="C12" s="2817" t="s">
        <v>3073</v>
      </c>
      <c r="D12" s="2823"/>
      <c r="E12" s="2826">
        <f>IF(A12=0,0,'数据-取费表'!K12+'数据-取费表'!S12)</f>
        <v>0</v>
      </c>
    </row>
    <row r="13" spans="1:5" ht="14.25" thickBot="1">
      <c r="A13" s="2832">
        <f>'数据-取费表'!AN13</f>
        <v>0</v>
      </c>
      <c r="B13" s="2828" t="e">
        <f ca="1">'数据-取费表'!AO13</f>
        <v>#REF!</v>
      </c>
      <c r="C13" s="2836" t="s">
        <v>3073</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1055</v>
      </c>
      <c r="B1" s="2788"/>
      <c r="C1" s="2793" t="s">
        <v>3031</v>
      </c>
      <c r="D1" s="578"/>
      <c r="E1" s="578"/>
      <c r="F1" s="578"/>
      <c r="G1" s="2789">
        <f>MATCH(B1,'数据-取费表'!A6:A16,0)+5</f>
        <v>11</v>
      </c>
      <c r="H1" s="2615" t="str">
        <f>IF(ISERROR(FIND("住宅",B1)),"非住宅","住宅")</f>
        <v>非住宅</v>
      </c>
    </row>
    <row r="2" spans="1:8" s="580" customFormat="1" ht="18" customHeight="1">
      <c r="A2" s="581" t="s">
        <v>510</v>
      </c>
      <c r="B2" s="582">
        <f ca="1">ROUND(IF(D2="——",C52/10000,C52/10000-E2),0)</f>
        <v>93719</v>
      </c>
      <c r="C2" s="85" t="s">
        <v>1105</v>
      </c>
      <c r="D2" s="2909" t="s">
        <v>755</v>
      </c>
      <c r="E2" s="2907" t="e">
        <f ca="1">SUMIF(INDIRECT("'"&amp;G2&amp;"'"&amp;"!A:A"),"承租人权益价值",INDIRECT("'"&amp;G2&amp;"'"&amp;"!c:c"))</f>
        <v>#N/A</v>
      </c>
      <c r="F2" s="2905" t="s">
        <v>1105</v>
      </c>
      <c r="G2" s="2908" t="s">
        <v>3072</v>
      </c>
    </row>
    <row r="3" spans="1:8" s="580" customFormat="1" ht="18" customHeight="1" thickBot="1">
      <c r="A3" s="583" t="s">
        <v>511</v>
      </c>
      <c r="B3" s="584">
        <f ca="1">ROUND(B2*10000/(IF(B1="",'数据-汇总表'!E3,INDIRECT("'数据-取费表'!k"&amp;$G$1))),0)</f>
        <v>6464</v>
      </c>
      <c r="C3" s="85" t="s">
        <v>1106</v>
      </c>
      <c r="D3" s="579"/>
      <c r="E3" s="579"/>
      <c r="F3" s="579"/>
      <c r="G3" s="579"/>
    </row>
    <row r="4" spans="1:8" s="588" customFormat="1" ht="15.75">
      <c r="A4" s="585" t="s">
        <v>1058</v>
      </c>
      <c r="B4" s="586"/>
      <c r="C4" s="586"/>
      <c r="D4" s="586"/>
      <c r="E4" s="586"/>
      <c r="F4" s="586"/>
      <c r="G4" s="587"/>
    </row>
    <row r="5" spans="1:8" s="594" customFormat="1" ht="13.5" customHeight="1">
      <c r="A5" s="635" t="s">
        <v>2264</v>
      </c>
      <c r="B5" s="590" t="s">
        <v>1059</v>
      </c>
      <c r="C5" s="591">
        <f>C6+C7+C8</f>
        <v>208100000</v>
      </c>
      <c r="D5" s="591" t="s">
        <v>1060</v>
      </c>
      <c r="E5" s="592" t="s">
        <v>1061</v>
      </c>
      <c r="F5" s="592" t="s">
        <v>1062</v>
      </c>
      <c r="G5" s="593"/>
    </row>
    <row r="6" spans="1:8" s="594" customFormat="1" ht="13.5" customHeight="1">
      <c r="A6" s="1826" t="s">
        <v>2273</v>
      </c>
      <c r="B6" s="595" t="s">
        <v>1063</v>
      </c>
      <c r="C6" s="596">
        <v>200000000</v>
      </c>
      <c r="D6" s="597"/>
      <c r="E6" s="598"/>
      <c r="F6" s="598"/>
      <c r="G6" s="599"/>
    </row>
    <row r="7" spans="1:8" s="594" customFormat="1" ht="13.5" customHeight="1">
      <c r="A7" s="1826" t="s">
        <v>2274</v>
      </c>
      <c r="B7" s="595" t="s">
        <v>512</v>
      </c>
      <c r="C7" s="600">
        <f>ROUND(C6*F7,0)</f>
        <v>8100000</v>
      </c>
      <c r="D7" s="600"/>
      <c r="E7" s="598"/>
      <c r="F7" s="601">
        <f>'数据-取费表'!B48+'数据-取费表'!B49</f>
        <v>4.0500000000000001E-2</v>
      </c>
      <c r="G7" s="599"/>
    </row>
    <row r="8" spans="1:8" s="603" customFormat="1">
      <c r="A8" s="1826" t="s">
        <v>2275</v>
      </c>
      <c r="B8" s="595" t="s">
        <v>1064</v>
      </c>
      <c r="C8" s="600">
        <f>IF(G8="已包含在土地购买价格中",0,C9+C10)</f>
        <v>0</v>
      </c>
      <c r="D8" s="602"/>
      <c r="E8" s="600"/>
      <c r="F8" s="601"/>
      <c r="G8" s="84" t="s">
        <v>3086</v>
      </c>
    </row>
    <row r="9" spans="1:8" s="594" customFormat="1" ht="13.5" customHeight="1">
      <c r="A9" s="1827" t="s">
        <v>2282</v>
      </c>
      <c r="B9" s="604" t="s">
        <v>1065</v>
      </c>
      <c r="C9" s="605">
        <f ca="1">ROUND(D9*E9,0)</f>
        <v>11153505</v>
      </c>
      <c r="D9" s="1931">
        <f ca="1">IF(B1="",'数据-汇总表'!E5,IF(INDIRECT("'数据-取费表'!c"&amp;$G$1)="住宅",INDIRECT("'数据-取费表'!k"&amp;$G$1),0))</f>
        <v>65608.850000000006</v>
      </c>
      <c r="E9" s="605">
        <f>'数据-取费表'!B27</f>
        <v>170</v>
      </c>
      <c r="F9" s="601"/>
      <c r="G9" s="606"/>
    </row>
    <row r="10" spans="1:8" s="594" customFormat="1" ht="13.5" customHeight="1">
      <c r="A10" s="1827" t="s">
        <v>2283</v>
      </c>
      <c r="B10" s="604" t="s">
        <v>1066</v>
      </c>
      <c r="C10" s="605">
        <f ca="1">ROUND(D10*E10,0)</f>
        <v>13495294</v>
      </c>
      <c r="D10" s="1931">
        <f ca="1">IF(B1="",'数据-汇总表'!E6,IF(INDIRECT("'数据-取费表'!c"&amp;$G$1)="住宅",INDIRECT("'数据-取费表'!s"&amp;$G$1),INDIRECT("'数据-取费表'!k"&amp;$G$1)+INDIRECT("'数据-取费表'!s"&amp;$G$1)))</f>
        <v>79384.079999999987</v>
      </c>
      <c r="E10" s="605">
        <f>'数据-取费表'!B28</f>
        <v>170</v>
      </c>
      <c r="F10" s="601"/>
      <c r="G10" s="606"/>
    </row>
    <row r="11" spans="1:8" s="594" customFormat="1" ht="13.5" hidden="1" customHeight="1">
      <c r="A11" s="607" t="s">
        <v>45</v>
      </c>
      <c r="B11" s="595" t="s">
        <v>1067</v>
      </c>
      <c r="C11" s="591"/>
      <c r="D11" s="1933"/>
      <c r="E11" s="598"/>
      <c r="F11" s="598"/>
      <c r="G11" s="599"/>
    </row>
    <row r="12" spans="1:8" s="594" customFormat="1" ht="13.5" hidden="1" customHeight="1">
      <c r="A12" s="607" t="s">
        <v>46</v>
      </c>
      <c r="B12" s="595" t="s">
        <v>1068</v>
      </c>
      <c r="C12" s="591">
        <v>0</v>
      </c>
      <c r="D12" s="1933"/>
      <c r="E12" s="608"/>
      <c r="F12" s="601">
        <v>3.0499999999999999E-2</v>
      </c>
      <c r="G12" s="599"/>
    </row>
    <row r="13" spans="1:8" s="594" customFormat="1" ht="13.5" hidden="1" customHeight="1">
      <c r="A13" s="607" t="s">
        <v>47</v>
      </c>
      <c r="B13" s="595" t="s">
        <v>1069</v>
      </c>
      <c r="C13" s="591"/>
      <c r="D13" s="1933"/>
      <c r="E13" s="598"/>
      <c r="F13" s="598"/>
      <c r="G13" s="599"/>
    </row>
    <row r="14" spans="1:8" s="594" customFormat="1" ht="13.5" hidden="1" customHeight="1">
      <c r="A14" s="607" t="s">
        <v>48</v>
      </c>
      <c r="B14" s="595" t="s">
        <v>1064</v>
      </c>
      <c r="C14" s="591"/>
      <c r="D14" s="1933"/>
      <c r="E14" s="598"/>
      <c r="F14" s="598"/>
      <c r="G14" s="599" t="s">
        <v>1070</v>
      </c>
    </row>
    <row r="15" spans="1:8" s="594" customFormat="1" ht="13.5" hidden="1" customHeight="1">
      <c r="A15" s="607" t="s">
        <v>49</v>
      </c>
      <c r="B15" s="595" t="s">
        <v>1071</v>
      </c>
      <c r="C15" s="600"/>
      <c r="D15" s="1933"/>
      <c r="E15" s="598"/>
      <c r="F15" s="598"/>
      <c r="G15" s="599" t="s">
        <v>1072</v>
      </c>
    </row>
    <row r="16" spans="1:8"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2265</v>
      </c>
      <c r="B19" s="590" t="s">
        <v>1083</v>
      </c>
      <c r="C19" s="591">
        <f ca="1">IF(G19="已包含在土地取得成本中","0",ROUND(D19*E19,0))</f>
        <v>28998586</v>
      </c>
      <c r="D19" s="1935">
        <f ca="1">D9+D10</f>
        <v>144992.93</v>
      </c>
      <c r="E19" s="591">
        <f>'数据-取费表'!B31</f>
        <v>200</v>
      </c>
      <c r="F19" s="611"/>
      <c r="G19" s="84" t="s">
        <v>2930</v>
      </c>
    </row>
    <row r="20" spans="1:7" s="594" customFormat="1" ht="13.5" customHeight="1">
      <c r="A20" s="1825" t="s">
        <v>2266</v>
      </c>
      <c r="B20" s="590" t="s">
        <v>1076</v>
      </c>
      <c r="C20" s="612">
        <f ca="1">ROUND((C5+C19)*F20,0)</f>
        <v>3556479</v>
      </c>
      <c r="D20" s="612"/>
      <c r="E20" s="612"/>
      <c r="F20" s="613">
        <f>'数据-取费表'!B37</f>
        <v>1.4999999999999999E-2</v>
      </c>
      <c r="G20" s="2655" t="s">
        <v>2921</v>
      </c>
    </row>
    <row r="21" spans="1:7" s="594" customFormat="1" ht="13.5" customHeight="1">
      <c r="A21" s="1825" t="s">
        <v>2267</v>
      </c>
      <c r="B21" s="590" t="s">
        <v>1077</v>
      </c>
      <c r="C21" s="615">
        <f>F21</f>
        <v>0.02</v>
      </c>
      <c r="D21" s="616" t="s">
        <v>1098</v>
      </c>
      <c r="E21" s="612"/>
      <c r="F21" s="613">
        <f>'数据-取费表'!B38</f>
        <v>0.02</v>
      </c>
      <c r="G21" s="614" t="s">
        <v>1078</v>
      </c>
    </row>
    <row r="22" spans="1:7" s="594" customFormat="1" ht="13.5" customHeight="1">
      <c r="A22" s="1825" t="s">
        <v>2268</v>
      </c>
      <c r="B22" s="590" t="s">
        <v>1079</v>
      </c>
      <c r="C22" s="2790">
        <f ca="1">ROUND(SUM(C23:C25),0)</f>
        <v>29378794</v>
      </c>
      <c r="D22" s="615">
        <f ca="1">C26</f>
        <v>1.1999999999999999E-3</v>
      </c>
      <c r="E22" s="616" t="s">
        <v>1098</v>
      </c>
      <c r="F22" s="617">
        <f ca="1">'数据-取费表'!B40</f>
        <v>4.7500000000000001E-2</v>
      </c>
      <c r="G22" s="2655" t="str">
        <f>IF('数据-取费表'!B22&lt;=1,"单利计息","复利计息")</f>
        <v>复利计息</v>
      </c>
    </row>
    <row r="23" spans="1:7" s="594" customFormat="1" ht="13.5" customHeight="1">
      <c r="A23" s="1828" t="s">
        <v>2273</v>
      </c>
      <c r="B23" s="595" t="s">
        <v>2914</v>
      </c>
      <c r="C23" s="2791">
        <f ca="1">ROUND(IF('数据-取费表'!B22&lt;=1,C5*F22*'数据-取费表'!B22,C5*(POWER((1+F22),'数据-取费表'!B22)-1)),0)</f>
        <v>25599164</v>
      </c>
      <c r="D23" s="618"/>
      <c r="E23" s="618"/>
      <c r="F23" s="619"/>
      <c r="G23" s="620" t="s">
        <v>1080</v>
      </c>
    </row>
    <row r="24" spans="1:7" s="594" customFormat="1" ht="13.5" customHeight="1">
      <c r="A24" s="1828" t="s">
        <v>2274</v>
      </c>
      <c r="B24" s="595" t="s">
        <v>2909</v>
      </c>
      <c r="C24" s="2791">
        <f ca="1">ROUND(IF('数据-取费表'!B22&lt;=1,C19*F22*('数据-取费表'!B19/2+'数据-取费表'!B20),C19*(POWER((1+F22),('数据-取费表'!B19/2+'数据-取费表'!B20))-1)),0)</f>
        <v>3567225</v>
      </c>
      <c r="D24" s="618"/>
      <c r="E24" s="618"/>
      <c r="F24" s="619"/>
      <c r="G24" s="620" t="s">
        <v>1081</v>
      </c>
    </row>
    <row r="25" spans="1:7" s="594" customFormat="1" ht="24">
      <c r="A25" s="1828" t="s">
        <v>2275</v>
      </c>
      <c r="B25" s="595" t="s">
        <v>2911</v>
      </c>
      <c r="C25" s="2791">
        <f ca="1">ROUND(IF('数据-取费表'!B22&lt;=1,C20*F22*'数据-取费表'!B22/2,C20*(POWER((1+F22),'数据-取费表'!B22/2)-1)),0)</f>
        <v>212405</v>
      </c>
      <c r="D25" s="618"/>
      <c r="E25" s="621"/>
      <c r="F25" s="619"/>
      <c r="G25" s="622" t="s">
        <v>1082</v>
      </c>
    </row>
    <row r="26" spans="1:7" s="594" customFormat="1">
      <c r="A26" s="1828" t="s">
        <v>2277</v>
      </c>
      <c r="B26" s="595" t="s">
        <v>2913</v>
      </c>
      <c r="C26" s="618">
        <f ca="1">ROUND(IF('数据-取费表'!B22&lt;=1,F21*F22*'数据-取费表'!B22/2,F21*(POWER((1+F22),'数据-取费表'!B22/2)-1)),4)</f>
        <v>1.1999999999999999E-3</v>
      </c>
      <c r="D26" s="618"/>
      <c r="E26" s="621"/>
      <c r="F26" s="619"/>
      <c r="G26" s="623"/>
    </row>
    <row r="27" spans="1:7" s="594" customFormat="1" ht="24.75">
      <c r="A27" s="1825" t="s">
        <v>2269</v>
      </c>
      <c r="B27" s="624" t="s">
        <v>1084</v>
      </c>
      <c r="C27" s="625">
        <f ca="1">C28</f>
        <v>38504810</v>
      </c>
      <c r="D27" s="615">
        <f ca="1">C29</f>
        <v>3.2000000000000002E-3</v>
      </c>
      <c r="E27" s="616" t="s">
        <v>1098</v>
      </c>
      <c r="F27" s="626">
        <f ca="1">IF(B1="",'数据-取费表'!Q16,INDIRECT("'数据-取费表'!q"&amp;$G$1))</f>
        <v>0.16</v>
      </c>
      <c r="G27" s="627" t="s">
        <v>2922</v>
      </c>
    </row>
    <row r="28" spans="1:7" s="594" customFormat="1" ht="13.5" customHeight="1">
      <c r="A28" s="1828" t="s">
        <v>2273</v>
      </c>
      <c r="B28" s="628" t="s">
        <v>2915</v>
      </c>
      <c r="C28" s="629">
        <f ca="1">ROUND((C5+C19+C20)*F27,0)</f>
        <v>38504810</v>
      </c>
      <c r="D28" s="615"/>
      <c r="E28" s="616"/>
      <c r="F28" s="626"/>
      <c r="G28" s="627"/>
    </row>
    <row r="29" spans="1:7" s="594" customFormat="1" ht="13.5" customHeight="1">
      <c r="A29" s="1828" t="s">
        <v>2274</v>
      </c>
      <c r="B29" s="628" t="s">
        <v>2916</v>
      </c>
      <c r="C29" s="618">
        <f ca="1">ROUND(C21*F27,4)</f>
        <v>3.2000000000000002E-3</v>
      </c>
      <c r="D29" s="615"/>
      <c r="E29" s="616"/>
      <c r="F29" s="626"/>
      <c r="G29" s="627"/>
    </row>
    <row r="30" spans="1:7" s="594" customFormat="1" ht="13.5" customHeight="1">
      <c r="A30" s="1825" t="s">
        <v>2270</v>
      </c>
      <c r="B30" s="590" t="s">
        <v>513</v>
      </c>
      <c r="C30" s="615">
        <f>ROUND(F30/(1+'数据-取费表'!B42),4)</f>
        <v>5.33E-2</v>
      </c>
      <c r="D30" s="616" t="s">
        <v>3351</v>
      </c>
      <c r="E30" s="621"/>
      <c r="F30" s="617">
        <f>'数据-取费表'!B41</f>
        <v>5.6000000000000001E-2</v>
      </c>
      <c r="G30" s="2655" t="s">
        <v>3352</v>
      </c>
    </row>
    <row r="31" spans="1:7" ht="16.5" customHeight="1">
      <c r="A31" s="589">
        <v>1</v>
      </c>
      <c r="B31" s="590" t="s">
        <v>1100</v>
      </c>
      <c r="C31" s="591">
        <f ca="1">ROUND((C5+C19+C20+C22+C27)/(1-C21-D22-D27-C30),0)</f>
        <v>334531789</v>
      </c>
      <c r="D31" s="610"/>
      <c r="E31" s="591"/>
      <c r="F31" s="630"/>
      <c r="G31" s="614" t="s">
        <v>2923</v>
      </c>
    </row>
    <row r="32" spans="1:7" s="588" customFormat="1" ht="15.75">
      <c r="A32" s="632" t="s">
        <v>3026</v>
      </c>
      <c r="B32" s="633"/>
      <c r="C32" s="633"/>
      <c r="D32" s="633"/>
      <c r="E32" s="633"/>
      <c r="F32" s="633"/>
      <c r="G32" s="634"/>
    </row>
    <row r="33" spans="1:7" s="594" customFormat="1" ht="13.5" customHeight="1">
      <c r="A33" s="635" t="s">
        <v>2264</v>
      </c>
      <c r="B33" s="2792" t="s">
        <v>3027</v>
      </c>
      <c r="C33" s="636">
        <f ca="1">SUM(C34:C38)</f>
        <v>448966633</v>
      </c>
      <c r="D33" s="612"/>
      <c r="E33" s="592"/>
      <c r="F33" s="621"/>
      <c r="G33" s="614"/>
    </row>
    <row r="34" spans="1:7" s="638" customFormat="1" ht="13.5" customHeight="1">
      <c r="A34" s="1828" t="s">
        <v>2273</v>
      </c>
      <c r="B34" s="595" t="s">
        <v>514</v>
      </c>
      <c r="C34" s="600">
        <f ca="1">ROUND(IF(B1="",SUMPRODUCT('数据-取费表'!K6:K14,'数据-取费表'!L6:L14),INDIRECT("'数据-取费表'!l"&amp;$G$1)*INDIRECT("'数据-取费表'!k"&amp;$G$1)+'数据-取费表'!L14*INDIRECT("'数据-取费表'!S"&amp;$G$1)),0)</f>
        <v>394349268</v>
      </c>
      <c r="D34" s="597"/>
      <c r="E34" s="600"/>
      <c r="F34" s="637"/>
      <c r="G34" s="599"/>
    </row>
    <row r="35" spans="1:7" ht="13.5" customHeight="1">
      <c r="A35" s="1828" t="s">
        <v>2278</v>
      </c>
      <c r="B35" s="595" t="s">
        <v>515</v>
      </c>
      <c r="C35" s="600">
        <f ca="1">ROUND(C34*F35,0)</f>
        <v>11830478</v>
      </c>
      <c r="D35" s="600"/>
      <c r="E35" s="600"/>
      <c r="F35" s="639">
        <f>'数据-取费表'!B33</f>
        <v>0.03</v>
      </c>
      <c r="G35" s="599" t="s">
        <v>1089</v>
      </c>
    </row>
    <row r="36" spans="1:7" ht="24">
      <c r="A36" s="1828" t="s">
        <v>2279</v>
      </c>
      <c r="B36" s="595" t="s">
        <v>516</v>
      </c>
      <c r="C36" s="600">
        <f ca="1">ROUND(IF(B1="",SUM('数据-取费表'!AP6:AP13)*F36,IF(INDIRECT("'数据-取费表'!c"&amp;$G$1)="住宅",INDIRECT("'数据-取费表'!k"&amp;$G$1)*INDIRECT("'数据-取费表'!l"&amp;$G$1)*F36,0)),0)</f>
        <v>7873062</v>
      </c>
      <c r="D36" s="600"/>
      <c r="E36" s="600"/>
      <c r="F36" s="639">
        <f>'数据-取费表'!B34</f>
        <v>0.05</v>
      </c>
      <c r="G36" s="640" t="s">
        <v>517</v>
      </c>
    </row>
    <row r="37" spans="1:7" s="638" customFormat="1" ht="13.5" customHeight="1">
      <c r="A37" s="1828" t="s">
        <v>2280</v>
      </c>
      <c r="B37" s="595" t="s">
        <v>1090</v>
      </c>
      <c r="C37" s="629">
        <f ca="1">ROUND(E37*D37,0)</f>
        <v>28998586</v>
      </c>
      <c r="D37" s="597">
        <f ca="1">D19</f>
        <v>144992.93</v>
      </c>
      <c r="E37" s="629">
        <f>'数据-取费表'!B35</f>
        <v>200</v>
      </c>
      <c r="F37" s="639"/>
      <c r="G37" s="641"/>
    </row>
    <row r="38" spans="1:7" ht="13.5" customHeight="1">
      <c r="A38" s="1828" t="s">
        <v>2281</v>
      </c>
      <c r="B38" s="595" t="s">
        <v>518</v>
      </c>
      <c r="C38" s="600">
        <f ca="1">ROUND(C34*F38,0)</f>
        <v>5915239</v>
      </c>
      <c r="D38" s="600"/>
      <c r="E38" s="600"/>
      <c r="F38" s="639">
        <f>'数据-取费表'!B36</f>
        <v>1.4999999999999999E-2</v>
      </c>
      <c r="G38" s="599" t="s">
        <v>1089</v>
      </c>
    </row>
    <row r="39" spans="1:7" s="594" customFormat="1" ht="13.5" customHeight="1">
      <c r="A39" s="1825" t="s">
        <v>2265</v>
      </c>
      <c r="B39" s="590" t="s">
        <v>1076</v>
      </c>
      <c r="C39" s="612">
        <f ca="1">ROUND(C33*F20,0)</f>
        <v>6734499</v>
      </c>
      <c r="D39" s="612"/>
      <c r="E39" s="612"/>
      <c r="F39" s="613"/>
      <c r="G39" s="2655" t="s">
        <v>2924</v>
      </c>
    </row>
    <row r="40" spans="1:7" s="594" customFormat="1" ht="13.5" customHeight="1">
      <c r="A40" s="1825" t="s">
        <v>2266</v>
      </c>
      <c r="B40" s="590" t="s">
        <v>1077</v>
      </c>
      <c r="C40" s="3277">
        <f>F21</f>
        <v>0.02</v>
      </c>
      <c r="D40" s="616" t="s">
        <v>1101</v>
      </c>
      <c r="E40" s="612"/>
      <c r="F40" s="613"/>
      <c r="G40" s="614" t="s">
        <v>1092</v>
      </c>
    </row>
    <row r="41" spans="1:7" s="594" customFormat="1" ht="13.5" customHeight="1">
      <c r="A41" s="1825" t="s">
        <v>2267</v>
      </c>
      <c r="B41" s="590" t="s">
        <v>1079</v>
      </c>
      <c r="C41" s="612">
        <f ca="1">ROUND(SUM(C42:C43),0)</f>
        <v>27216038</v>
      </c>
      <c r="D41" s="615">
        <f ca="1">C44</f>
        <v>1.1999999999999999E-3</v>
      </c>
      <c r="E41" s="616" t="s">
        <v>1101</v>
      </c>
      <c r="F41" s="617"/>
      <c r="G41" s="2655" t="str">
        <f>IF('数据-取费表'!B22&lt;=1,"单利计息","复利计息")</f>
        <v>复利计息</v>
      </c>
    </row>
    <row r="42" spans="1:7" ht="13.5" customHeight="1">
      <c r="A42" s="1828" t="s">
        <v>2273</v>
      </c>
      <c r="B42" s="595" t="s">
        <v>2914</v>
      </c>
      <c r="C42" s="618">
        <f ca="1">ROUND(IF('数据-取费表'!B22&lt;=1,C33*F22*'数据-取费表'!B20/2,C33*(POWER((1+F22),'数据-取费表'!B20/2)-1)),0)</f>
        <v>26813831</v>
      </c>
      <c r="D42" s="618"/>
      <c r="E42" s="618"/>
      <c r="F42" s="619"/>
      <c r="G42" s="3709" t="s">
        <v>3030</v>
      </c>
    </row>
    <row r="43" spans="1:7" ht="13.5" customHeight="1">
      <c r="A43" s="1828" t="s">
        <v>2274</v>
      </c>
      <c r="B43" s="595" t="s">
        <v>2909</v>
      </c>
      <c r="C43" s="618">
        <f ca="1">ROUND(IF('数据-取费表'!B22&lt;=1,C39*F22*'数据-取费表'!B20/2,C39*(POWER((1+F22),'数据-取费表'!B20/2)-1)),0)</f>
        <v>402207</v>
      </c>
      <c r="D43" s="618"/>
      <c r="E43" s="618"/>
      <c r="F43" s="619"/>
      <c r="G43" s="3618"/>
    </row>
    <row r="44" spans="1:7" ht="13.5" customHeight="1">
      <c r="A44" s="1828" t="s">
        <v>2275</v>
      </c>
      <c r="B44" s="595" t="s">
        <v>2911</v>
      </c>
      <c r="C44" s="618">
        <f ca="1">ROUND(IF('数据-取费表'!B22&lt;=1,C40*F22*'数据-取费表'!B20/2,C40*(POWER((1+F22),'数据-取费表'!B20/2)-1)),4)</f>
        <v>1.1999999999999999E-3</v>
      </c>
      <c r="D44" s="618"/>
      <c r="E44" s="618"/>
      <c r="F44" s="619"/>
      <c r="G44" s="3619"/>
    </row>
    <row r="45" spans="1:7" s="594" customFormat="1" ht="13.5" customHeight="1">
      <c r="A45" s="1825" t="s">
        <v>2268</v>
      </c>
      <c r="B45" s="624" t="s">
        <v>1084</v>
      </c>
      <c r="C45" s="625">
        <f ca="1">C46</f>
        <v>72912181</v>
      </c>
      <c r="D45" s="615">
        <f ca="1">C47</f>
        <v>3.2000000000000002E-3</v>
      </c>
      <c r="E45" s="616" t="s">
        <v>1101</v>
      </c>
      <c r="F45" s="626"/>
      <c r="G45" s="627" t="s">
        <v>2925</v>
      </c>
    </row>
    <row r="46" spans="1:7" s="594" customFormat="1" ht="13.5" customHeight="1">
      <c r="A46" s="1828" t="s">
        <v>2273</v>
      </c>
      <c r="B46" s="628" t="s">
        <v>2918</v>
      </c>
      <c r="C46" s="629">
        <f ca="1">ROUND((C33+C39)*F27,0)</f>
        <v>72912181</v>
      </c>
      <c r="D46" s="643"/>
      <c r="E46" s="616"/>
      <c r="F46" s="626"/>
      <c r="G46" s="627"/>
    </row>
    <row r="47" spans="1:7" s="594" customFormat="1" ht="13.5" customHeight="1">
      <c r="A47" s="1828" t="s">
        <v>2274</v>
      </c>
      <c r="B47" s="628" t="s">
        <v>2920</v>
      </c>
      <c r="C47" s="618">
        <f ca="1">ROUND(C40*F27,4)</f>
        <v>3.2000000000000002E-3</v>
      </c>
      <c r="D47" s="643"/>
      <c r="E47" s="616"/>
      <c r="F47" s="626"/>
      <c r="G47" s="627"/>
    </row>
    <row r="48" spans="1:7" s="594" customFormat="1" ht="13.5" customHeight="1">
      <c r="A48" s="1825" t="s">
        <v>2269</v>
      </c>
      <c r="B48" s="590" t="s">
        <v>1094</v>
      </c>
      <c r="C48" s="642">
        <f>ROUND(F30/(1+'数据-取费表'!B42),4)</f>
        <v>5.33E-2</v>
      </c>
      <c r="D48" s="616" t="s">
        <v>3349</v>
      </c>
      <c r="E48" s="612"/>
      <c r="F48" s="617"/>
      <c r="G48" s="2655" t="s">
        <v>3350</v>
      </c>
    </row>
    <row r="49" spans="1:7" ht="16.5" customHeight="1">
      <c r="A49" s="1825" t="s">
        <v>2270</v>
      </c>
      <c r="B49" s="590" t="s">
        <v>3028</v>
      </c>
      <c r="C49" s="612">
        <f ca="1">ROUND((C33+C39+C41+C45)/(1-C40-D41-D45-C48),0)</f>
        <v>602655699</v>
      </c>
      <c r="D49" s="612"/>
      <c r="E49" s="612"/>
      <c r="F49" s="644"/>
      <c r="G49" s="614" t="s">
        <v>2926</v>
      </c>
    </row>
    <row r="50" spans="1:7" s="638" customFormat="1">
      <c r="A50" s="1825" t="s">
        <v>2271</v>
      </c>
      <c r="B50" s="590" t="s">
        <v>1096</v>
      </c>
      <c r="C50" s="612"/>
      <c r="D50" s="612"/>
      <c r="E50" s="612"/>
      <c r="F50" s="644">
        <f>IF('数据-取费表'!B24=0,'数据-取费表'!N16,1)</f>
        <v>1</v>
      </c>
      <c r="G50" s="627"/>
    </row>
    <row r="51" spans="1:7" ht="16.5" customHeight="1">
      <c r="A51" s="1825" t="s">
        <v>2272</v>
      </c>
      <c r="B51" s="590" t="s">
        <v>3029</v>
      </c>
      <c r="C51" s="612">
        <f ca="1">ROUND(C49*F50,0)</f>
        <v>602655699</v>
      </c>
      <c r="D51" s="612"/>
      <c r="E51" s="612"/>
      <c r="F51" s="644"/>
      <c r="G51" s="614" t="s">
        <v>519</v>
      </c>
    </row>
    <row r="52" spans="1:7" s="588" customFormat="1" ht="16.5" thickBot="1">
      <c r="A52" s="645" t="s">
        <v>520</v>
      </c>
      <c r="B52" s="646"/>
      <c r="C52" s="647">
        <f ca="1">C31+C51</f>
        <v>937187488</v>
      </c>
      <c r="D52" s="646"/>
      <c r="E52" s="646"/>
      <c r="F52" s="646"/>
      <c r="G52" s="648"/>
    </row>
    <row r="55" spans="1:7" ht="15">
      <c r="B55" s="650" t="s">
        <v>521</v>
      </c>
      <c r="C55" s="651"/>
    </row>
    <row r="56" spans="1:7">
      <c r="B56" s="2911" t="s">
        <v>3104</v>
      </c>
      <c r="C56" s="655">
        <f ca="1">1-C57</f>
        <v>0.35699999999999998</v>
      </c>
    </row>
    <row r="57" spans="1:7">
      <c r="B57" s="2911" t="s">
        <v>3103</v>
      </c>
      <c r="C57" s="654">
        <f ca="1">ROUND(C51/C52,3)</f>
        <v>0.64300000000000002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1146</v>
      </c>
      <c r="B1" s="674"/>
      <c r="C1" s="2419" t="s">
        <v>3363</v>
      </c>
      <c r="D1" s="1278"/>
      <c r="E1" s="2616" t="s">
        <v>763</v>
      </c>
      <c r="F1" s="2617">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510</v>
      </c>
      <c r="B2" s="1411" t="e">
        <f ca="1">ROUND(D2/10000,0)</f>
        <v>#N/A</v>
      </c>
      <c r="C2" s="1304" t="s">
        <v>1415</v>
      </c>
      <c r="D2" s="2760" t="e">
        <f ca="1">C40+J29+L46</f>
        <v>#N/A</v>
      </c>
      <c r="E2" s="2606" t="s">
        <v>3023</v>
      </c>
      <c r="F2" s="1281"/>
      <c r="G2" s="2314"/>
      <c r="H2" s="1279"/>
      <c r="I2" s="1279"/>
      <c r="J2" s="1279"/>
      <c r="K2" s="1303"/>
      <c r="L2" s="1279"/>
      <c r="M2" s="1279"/>
    </row>
    <row r="3" spans="1:37" ht="18" customHeight="1" thickBot="1">
      <c r="A3" s="679" t="s">
        <v>511</v>
      </c>
      <c r="B3" s="1412">
        <f ca="1">IF(ISERROR(D2/F43),0,ROUND(D2/F43,0))</f>
        <v>0</v>
      </c>
      <c r="C3" s="1304" t="s">
        <v>1416</v>
      </c>
      <c r="D3" s="1280"/>
      <c r="E3" s="2606"/>
      <c r="F3" s="1281"/>
      <c r="G3" s="2314"/>
      <c r="H3" s="680" t="s">
        <v>1147</v>
      </c>
      <c r="I3" s="1279"/>
      <c r="J3" s="1279"/>
      <c r="K3" s="1303"/>
      <c r="L3" s="1279"/>
      <c r="M3" s="1279"/>
    </row>
    <row r="4" spans="1:37" ht="18" customHeight="1">
      <c r="A4" s="681" t="s">
        <v>1148</v>
      </c>
      <c r="B4" s="682" t="s">
        <v>1149</v>
      </c>
      <c r="C4" s="682" t="s">
        <v>1150</v>
      </c>
      <c r="D4" s="682" t="s">
        <v>1151</v>
      </c>
      <c r="E4" s="683" t="s">
        <v>1152</v>
      </c>
      <c r="F4" s="684"/>
      <c r="G4" s="2315"/>
      <c r="H4" s="681" t="s">
        <v>1148</v>
      </c>
      <c r="I4" s="682" t="s">
        <v>1149</v>
      </c>
      <c r="J4" s="682" t="s">
        <v>1150</v>
      </c>
      <c r="K4" s="682" t="s">
        <v>1151</v>
      </c>
      <c r="L4" s="683" t="s">
        <v>1152</v>
      </c>
      <c r="M4" s="684"/>
    </row>
    <row r="5" spans="1:37" ht="18" customHeight="1">
      <c r="A5" s="685">
        <v>1</v>
      </c>
      <c r="B5" s="686" t="s">
        <v>2702</v>
      </c>
      <c r="C5" s="2661" t="e">
        <f ca="1">C6+C10+C12</f>
        <v>#N/A</v>
      </c>
      <c r="D5" s="2671" t="s">
        <v>2937</v>
      </c>
      <c r="E5" s="2662"/>
      <c r="F5" s="2663"/>
      <c r="G5" s="2315"/>
      <c r="H5" s="685">
        <v>1</v>
      </c>
      <c r="I5" s="686" t="s">
        <v>2702</v>
      </c>
      <c r="J5" s="2661" t="e">
        <f ca="1">J6+J10+J12</f>
        <v>#N/A</v>
      </c>
      <c r="K5" s="2664" t="s">
        <v>2937</v>
      </c>
      <c r="L5" s="2662"/>
      <c r="M5" s="2663"/>
    </row>
    <row r="6" spans="1:37" ht="18" customHeight="1">
      <c r="A6" s="2657" t="s">
        <v>2743</v>
      </c>
      <c r="B6" s="3665" t="s">
        <v>2936</v>
      </c>
      <c r="C6" s="2666" t="e">
        <f ca="1">ROUND(F6*F8*F7*(1-F9),0)</f>
        <v>#N/A</v>
      </c>
      <c r="D6" s="2660" t="s">
        <v>2938</v>
      </c>
      <c r="E6" s="688" t="s">
        <v>1153</v>
      </c>
      <c r="F6" s="689" t="e">
        <f ca="1">INDIRECT("'数据-取费表'!u"&amp;$G$1)</f>
        <v>#N/A</v>
      </c>
      <c r="G6" s="2315"/>
      <c r="H6" s="2657" t="s">
        <v>2743</v>
      </c>
      <c r="I6" s="3665" t="s">
        <v>2936</v>
      </c>
      <c r="J6" s="687" t="e">
        <f ca="1">ROUND(M6*M8*M7*(1-M9),0)</f>
        <v>#N/A</v>
      </c>
      <c r="K6" s="2660" t="s">
        <v>2938</v>
      </c>
      <c r="L6" s="688" t="s">
        <v>1153</v>
      </c>
      <c r="M6" s="689" t="e">
        <f ca="1">INDIRECT("'数据-取费表'!z"&amp;$G$1)</f>
        <v>#N/A</v>
      </c>
    </row>
    <row r="7" spans="1:37" ht="18" customHeight="1">
      <c r="A7" s="2665"/>
      <c r="B7" s="3666"/>
      <c r="C7" s="2667"/>
      <c r="D7" s="2085"/>
      <c r="E7" s="2668" t="s">
        <v>1154</v>
      </c>
      <c r="F7" s="689" t="e">
        <f ca="1">IF(INDIRECT("'数据-取费表'!ah"&amp;$G$1)="",INDIRECT("'数据-取费表'!k"&amp;$G$1),INDIRECT("'数据-取费表'!ah"&amp;$G$1))</f>
        <v>#N/A</v>
      </c>
      <c r="G7" s="2315"/>
      <c r="H7" s="690"/>
      <c r="I7" s="3666"/>
      <c r="J7" s="692"/>
      <c r="K7" s="693"/>
      <c r="L7" s="688" t="s">
        <v>1154</v>
      </c>
      <c r="M7" s="689" t="e">
        <f ca="1">F7</f>
        <v>#N/A</v>
      </c>
    </row>
    <row r="8" spans="1:37" ht="18" customHeight="1">
      <c r="A8" s="690"/>
      <c r="B8" s="3666"/>
      <c r="C8" s="692"/>
      <c r="D8" s="693"/>
      <c r="E8" s="688" t="s">
        <v>1155</v>
      </c>
      <c r="F8" s="689" t="e">
        <f ca="1">INDIRECT("'数据-取费表'!ai"&amp;$G$1)</f>
        <v>#N/A</v>
      </c>
      <c r="G8" s="2315"/>
      <c r="H8" s="690"/>
      <c r="I8" s="3666"/>
      <c r="J8" s="692"/>
      <c r="K8" s="693"/>
      <c r="L8" s="688" t="s">
        <v>1155</v>
      </c>
      <c r="M8" s="689" t="e">
        <f ca="1">INDIRECT("'数据-取费表'!ai"&amp;$G$1)</f>
        <v>#N/A</v>
      </c>
    </row>
    <row r="9" spans="1:37" ht="18" customHeight="1">
      <c r="A9" s="690"/>
      <c r="B9" s="3667"/>
      <c r="C9" s="692"/>
      <c r="D9" s="693"/>
      <c r="E9" s="688" t="s">
        <v>1156</v>
      </c>
      <c r="F9" s="698" t="e">
        <f ca="1">INDIRECT("'数据-取费表'!w"&amp;$G$1)</f>
        <v>#N/A</v>
      </c>
      <c r="G9" s="2315"/>
      <c r="H9" s="690"/>
      <c r="I9" s="3667"/>
      <c r="J9" s="692"/>
      <c r="K9" s="693"/>
      <c r="L9" s="699" t="s">
        <v>1156</v>
      </c>
      <c r="M9" s="700" t="e">
        <f ca="1">INDIRECT("'数据-取费表'!ab"&amp;$G$1)</f>
        <v>#N/A</v>
      </c>
    </row>
    <row r="10" spans="1:37" ht="18" customHeight="1">
      <c r="A10" s="2657" t="s">
        <v>2750</v>
      </c>
      <c r="B10" s="2658" t="s">
        <v>2931</v>
      </c>
      <c r="C10" s="702" t="e">
        <f ca="1">ROUND(IF(F10="押一",F6*F8*F7/12*F11,IF(F10="押二",F6*F8*F7/12*2*F11,IF(F10="押三",F6*F8*F7/12*3*F11,C11*F11))),0)</f>
        <v>#N/A</v>
      </c>
      <c r="D10" s="2669" t="s">
        <v>2939</v>
      </c>
      <c r="E10" s="2121" t="s">
        <v>2933</v>
      </c>
      <c r="F10" s="2867" t="s">
        <v>3025</v>
      </c>
      <c r="G10" s="2315"/>
      <c r="H10" s="2657" t="s">
        <v>2750</v>
      </c>
      <c r="I10" s="2658" t="s">
        <v>2931</v>
      </c>
      <c r="J10" s="687">
        <f ca="1">ROUND(IF(M10="押一",M6*M8*M7/12*M11,IF(M10="押二",M6*M8*M7/12*2*M11,IF(M10="押三",M6*M8*M7/12*3*M11,J11*M11))),0)</f>
        <v>0</v>
      </c>
      <c r="K10" s="2669" t="s">
        <v>2939</v>
      </c>
      <c r="L10" s="2121" t="s">
        <v>2933</v>
      </c>
      <c r="M10" s="2867" t="s">
        <v>3096</v>
      </c>
    </row>
    <row r="11" spans="1:37" ht="18" customHeight="1">
      <c r="A11" s="694"/>
      <c r="B11" s="2659" t="s">
        <v>2941</v>
      </c>
      <c r="C11" s="2442"/>
      <c r="D11" s="693"/>
      <c r="E11" s="2121" t="s">
        <v>2934</v>
      </c>
      <c r="F11" s="700">
        <f ca="1">'数据-取费表'!B39</f>
        <v>1.4999999999999999E-2</v>
      </c>
      <c r="G11" s="2315"/>
      <c r="H11" s="2670"/>
      <c r="I11" s="2659" t="s">
        <v>3097</v>
      </c>
      <c r="J11" s="2442"/>
      <c r="K11" s="1285"/>
      <c r="L11" s="2121" t="s">
        <v>2934</v>
      </c>
      <c r="M11" s="2120">
        <f ca="1">'数据-取费表'!B39</f>
        <v>1.4999999999999999E-2</v>
      </c>
    </row>
    <row r="12" spans="1:37" ht="18" customHeight="1" thickBot="1">
      <c r="A12" s="2706" t="s">
        <v>2944</v>
      </c>
      <c r="B12" s="2707" t="s">
        <v>2932</v>
      </c>
      <c r="C12" s="2708"/>
      <c r="D12" s="2709"/>
      <c r="E12" s="2710"/>
      <c r="F12" s="2711"/>
      <c r="G12" s="2315"/>
      <c r="H12" s="2706" t="s">
        <v>2944</v>
      </c>
      <c r="I12" s="2707" t="s">
        <v>2932</v>
      </c>
      <c r="J12" s="2708"/>
      <c r="K12" s="2725"/>
      <c r="L12" s="2710"/>
      <c r="M12" s="2726"/>
    </row>
    <row r="13" spans="1:37" ht="18" customHeight="1" thickTop="1">
      <c r="A13" s="2702">
        <v>2</v>
      </c>
      <c r="B13" s="2703" t="s">
        <v>1157</v>
      </c>
      <c r="C13" s="696" t="e">
        <f ca="1">ROUND(C29*F13,0)</f>
        <v>#N/A</v>
      </c>
      <c r="D13" s="2704" t="s">
        <v>1158</v>
      </c>
      <c r="E13" s="2704" t="s">
        <v>1159</v>
      </c>
      <c r="F13" s="2705" t="e">
        <f ca="1">INDIRECT("'数据-取费表'!y"&amp;$G$1)</f>
        <v>#N/A</v>
      </c>
      <c r="G13" s="2315"/>
      <c r="H13" s="2702">
        <v>2</v>
      </c>
      <c r="I13" s="2703" t="s">
        <v>1157</v>
      </c>
      <c r="J13" s="2656" t="e">
        <f ca="1">ROUND(J14*J15,0)</f>
        <v>#N/A</v>
      </c>
      <c r="K13" s="2712" t="s">
        <v>1158</v>
      </c>
      <c r="L13" s="2723"/>
      <c r="M13" s="2724"/>
    </row>
    <row r="14" spans="1:37" ht="18" customHeight="1">
      <c r="A14" s="2465" t="s">
        <v>2740</v>
      </c>
      <c r="B14" s="688" t="s">
        <v>524</v>
      </c>
      <c r="C14" s="706" t="e">
        <f ca="1">ROUND(INDIRECT("'数据-取费表'!l"&amp;$G$1)*F43+'数据-取费表'!L14*INDIRECT("'数据-取费表'!S"&amp;$G$1),0)</f>
        <v>#N/A</v>
      </c>
      <c r="D14" s="2755" t="s">
        <v>1160</v>
      </c>
      <c r="E14" s="2754"/>
      <c r="F14" s="707"/>
      <c r="G14" s="2315"/>
      <c r="H14" s="2465" t="s">
        <v>2743</v>
      </c>
      <c r="I14" s="688" t="s">
        <v>1161</v>
      </c>
      <c r="J14" s="319" t="e">
        <f ca="1">C29</f>
        <v>#N/A</v>
      </c>
      <c r="K14" s="309"/>
      <c r="L14" s="704"/>
      <c r="M14" s="705"/>
    </row>
    <row r="15" spans="1:37" s="710" customFormat="1" ht="18" customHeight="1" thickBot="1">
      <c r="A15" s="2465" t="s">
        <v>3008</v>
      </c>
      <c r="B15" s="688" t="s">
        <v>525</v>
      </c>
      <c r="C15" s="319" t="e">
        <f ca="1">ROUND(C14*F15,0)</f>
        <v>#N/A</v>
      </c>
      <c r="D15" s="708" t="s">
        <v>1162</v>
      </c>
      <c r="E15" s="708" t="s">
        <v>530</v>
      </c>
      <c r="F15" s="709">
        <f>'数据-取费表'!B33</f>
        <v>0.03</v>
      </c>
      <c r="G15" s="2316"/>
      <c r="H15" s="2714" t="s">
        <v>2750</v>
      </c>
      <c r="I15" s="2715" t="s">
        <v>1159</v>
      </c>
      <c r="J15" s="2726" t="e">
        <f ca="1">INDIRECT("'数据-取费表'!ad"&amp;$G$1)</f>
        <v>#N/A</v>
      </c>
      <c r="K15" s="2727"/>
      <c r="L15" s="2728"/>
      <c r="M15" s="2729"/>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5" t="s">
        <v>3009</v>
      </c>
      <c r="B16" s="688" t="s">
        <v>526</v>
      </c>
      <c r="C16" s="319" t="e">
        <f ca="1">ROUND(INDIRECT("'数据-取费表'!l"&amp;$G$1)*F43*F16,0)</f>
        <v>#N/A</v>
      </c>
      <c r="D16" s="688" t="s">
        <v>1162</v>
      </c>
      <c r="E16" s="688" t="s">
        <v>530</v>
      </c>
      <c r="F16" s="711" t="e">
        <f ca="1">IF(INDIRECT("'数据-取费表'!c"&amp;$G$1)="住宅",'数据-取费表'!B34,0)</f>
        <v>#N/A</v>
      </c>
      <c r="G16" s="2315"/>
      <c r="H16" s="2702" t="s">
        <v>2708</v>
      </c>
      <c r="I16" s="2703" t="s">
        <v>1164</v>
      </c>
      <c r="J16" s="696" t="e">
        <f ca="1">ROUND(J17+J22+J23+J24,0)</f>
        <v>#N/A</v>
      </c>
      <c r="K16" s="2712" t="s">
        <v>1165</v>
      </c>
      <c r="L16" s="2713"/>
      <c r="M16" s="2663"/>
    </row>
    <row r="17" spans="1:37" s="710" customFormat="1" ht="18" customHeight="1">
      <c r="A17" s="2465" t="s">
        <v>3010</v>
      </c>
      <c r="B17" s="688" t="s">
        <v>527</v>
      </c>
      <c r="C17" s="319" t="e">
        <f ca="1">ROUND(F17*(F43+INDIRECT("'数据-取费表'!S"&amp;$G$1)),0)</f>
        <v>#N/A</v>
      </c>
      <c r="D17" s="688" t="s">
        <v>1166</v>
      </c>
      <c r="E17" s="688" t="s">
        <v>1167</v>
      </c>
      <c r="F17" s="321">
        <f>'数据-取费表'!B35</f>
        <v>200</v>
      </c>
      <c r="G17" s="2316"/>
      <c r="H17" s="2465" t="s">
        <v>2743</v>
      </c>
      <c r="I17" s="688" t="s">
        <v>528</v>
      </c>
      <c r="J17" s="319" t="e">
        <f ca="1">ROUND(IF(项目基本情况!B11="自然人",J5*M17,J18+J19+J20),0)</f>
        <v>#N/A</v>
      </c>
      <c r="K17" s="2755" t="s">
        <v>1168</v>
      </c>
      <c r="L17" s="2756" t="s">
        <v>1169</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5" t="s">
        <v>3011</v>
      </c>
      <c r="B18" s="688" t="s">
        <v>529</v>
      </c>
      <c r="C18" s="319" t="e">
        <f ca="1">ROUND(C14*F18,0)</f>
        <v>#N/A</v>
      </c>
      <c r="D18" s="688" t="s">
        <v>1162</v>
      </c>
      <c r="E18" s="688" t="s">
        <v>530</v>
      </c>
      <c r="F18" s="711">
        <f>'数据-取费表'!B36</f>
        <v>1.4999999999999999E-2</v>
      </c>
      <c r="G18" s="2316"/>
      <c r="H18" s="2465" t="s">
        <v>2740</v>
      </c>
      <c r="I18" s="688" t="s">
        <v>1170</v>
      </c>
      <c r="J18" s="319" t="e">
        <f ca="1">ROUND(J5*M18/(1+'数据-取费表'!B42),0)</f>
        <v>#N/A</v>
      </c>
      <c r="K18" s="2756" t="s">
        <v>1171</v>
      </c>
      <c r="L18" s="688" t="s">
        <v>530</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5" t="s">
        <v>2743</v>
      </c>
      <c r="B19" s="688" t="s">
        <v>531</v>
      </c>
      <c r="C19" s="319" t="e">
        <f ca="1">SUM(C14:C18)</f>
        <v>#N/A</v>
      </c>
      <c r="D19" s="475" t="s">
        <v>1172</v>
      </c>
      <c r="E19" s="2758"/>
      <c r="F19" s="321"/>
      <c r="G19" s="2315"/>
      <c r="H19" s="2465" t="s">
        <v>3008</v>
      </c>
      <c r="I19" s="688" t="s">
        <v>1173</v>
      </c>
      <c r="J19" s="319" t="e">
        <f ca="1">IF(K19="按租金收入计税",ROUND(J5*M19,0),ROUND(C29*M19*0.7,0))</f>
        <v>#N/A</v>
      </c>
      <c r="K19" s="1305" t="s">
        <v>2793</v>
      </c>
      <c r="L19" s="688" t="s">
        <v>530</v>
      </c>
      <c r="M19" s="711">
        <f>IF(K19="按租金收入计税",'数据-取费表'!B51,'数据-取费表'!B50)</f>
        <v>1.2E-2</v>
      </c>
    </row>
    <row r="20" spans="1:37" s="710" customFormat="1" ht="18" customHeight="1">
      <c r="A20" s="2465" t="s">
        <v>3012</v>
      </c>
      <c r="B20" s="688" t="s">
        <v>532</v>
      </c>
      <c r="C20" s="319" t="e">
        <f ca="1">ROUND(C19*F20,0)</f>
        <v>#N/A</v>
      </c>
      <c r="D20" s="713" t="s">
        <v>1174</v>
      </c>
      <c r="E20" s="688" t="s">
        <v>530</v>
      </c>
      <c r="F20" s="711">
        <f>'数据-取费表'!B37</f>
        <v>1.4999999999999999E-2</v>
      </c>
      <c r="G20" s="2316"/>
      <c r="H20" s="2465" t="s">
        <v>3009</v>
      </c>
      <c r="I20" s="500" t="s">
        <v>1175</v>
      </c>
      <c r="J20" s="320" t="e">
        <f ca="1">ROUND(M20*M21,0)</f>
        <v>#N/A</v>
      </c>
      <c r="K20" s="714" t="s">
        <v>1176</v>
      </c>
      <c r="L20" s="688" t="s">
        <v>1177</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5" t="s">
        <v>3013</v>
      </c>
      <c r="B21" s="688" t="s">
        <v>1178</v>
      </c>
      <c r="C21" s="319" t="s">
        <v>23</v>
      </c>
      <c r="D21" s="713" t="s">
        <v>1179</v>
      </c>
      <c r="E21" s="688" t="s">
        <v>1180</v>
      </c>
      <c r="F21" s="711">
        <f>'数据-取费表'!B38</f>
        <v>0.02</v>
      </c>
      <c r="G21" s="2316"/>
      <c r="H21" s="716"/>
      <c r="I21" s="697"/>
      <c r="J21" s="324"/>
      <c r="K21" s="717"/>
      <c r="L21" s="688" t="s">
        <v>1181</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5" t="s">
        <v>3014</v>
      </c>
      <c r="B22" s="688" t="s">
        <v>1182</v>
      </c>
      <c r="C22" s="319"/>
      <c r="D22" s="2737" t="str">
        <f>IF(F23&lt;=1,"单利计息。","复利计息。")&amp;"建造成本、管理费用、销售费用产生的利息。"</f>
        <v>复利计息。建造成本、管理费用、销售费用产生的利息。</v>
      </c>
      <c r="E22" s="2758"/>
      <c r="F22" s="321"/>
      <c r="G22" s="2315"/>
      <c r="H22" s="2465" t="s">
        <v>2750</v>
      </c>
      <c r="I22" s="688" t="s">
        <v>1183</v>
      </c>
      <c r="J22" s="319" t="e">
        <f ca="1">ROUND(J14*M22,0)</f>
        <v>#N/A</v>
      </c>
      <c r="K22" s="2756" t="s">
        <v>1184</v>
      </c>
      <c r="L22" s="688" t="s">
        <v>530</v>
      </c>
      <c r="M22" s="718" t="e">
        <f ca="1">INDIRECT("'数据-取费表'!Ak"&amp;$G$1)</f>
        <v>#N/A</v>
      </c>
    </row>
    <row r="23" spans="1:37" s="710" customFormat="1" ht="18" customHeight="1">
      <c r="A23" s="2465" t="s">
        <v>2740</v>
      </c>
      <c r="B23" s="688" t="s">
        <v>2928</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8" t="s">
        <v>1185</v>
      </c>
      <c r="F23" s="715">
        <f>'数据-取费表'!B20</f>
        <v>2.5</v>
      </c>
      <c r="G23" s="2316"/>
      <c r="H23" s="2465" t="s">
        <v>3013</v>
      </c>
      <c r="I23" s="688" t="s">
        <v>533</v>
      </c>
      <c r="J23" s="319" t="e">
        <f ca="1">ROUND(J13*M23,0)</f>
        <v>#N/A</v>
      </c>
      <c r="K23" s="2756" t="s">
        <v>534</v>
      </c>
      <c r="L23" s="688" t="s">
        <v>530</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5" t="s">
        <v>2746</v>
      </c>
      <c r="B24" s="688" t="s">
        <v>1187</v>
      </c>
      <c r="C24" s="319">
        <f ca="1">ROUND(IF('数据-取费表'!B22&lt;=1,F21*F24*F23/2,F21*(POWER((1+F24),F23/2)-1)),4)</f>
        <v>1.1999999999999999E-3</v>
      </c>
      <c r="D24" s="2741" t="str">
        <f>IF(F23&lt;=1,"销售费用×利率×(建设周期÷2)","销售费用×((1+利率)^(建设周期÷2)-1)")</f>
        <v>销售费用×((1+利率)^(建设周期÷2)-1)</v>
      </c>
      <c r="E24" s="688" t="s">
        <v>1188</v>
      </c>
      <c r="F24" s="721">
        <f ca="1">'数据-取费表'!B40</f>
        <v>4.7500000000000001E-2</v>
      </c>
      <c r="G24" s="2316"/>
      <c r="H24" s="2714" t="s">
        <v>3014</v>
      </c>
      <c r="I24" s="2715" t="s">
        <v>532</v>
      </c>
      <c r="J24" s="2716" t="e">
        <f ca="1">ROUND(J5*M24,0)</f>
        <v>#N/A</v>
      </c>
      <c r="K24" s="2717" t="s">
        <v>536</v>
      </c>
      <c r="L24" s="2715" t="s">
        <v>530</v>
      </c>
      <c r="M24" s="2711"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5" t="s">
        <v>2747</v>
      </c>
      <c r="B25" s="688" t="s">
        <v>537</v>
      </c>
      <c r="C25" s="319"/>
      <c r="D25" s="475" t="s">
        <v>1190</v>
      </c>
      <c r="E25" s="2758"/>
      <c r="F25" s="321"/>
      <c r="G25" s="2315"/>
      <c r="H25" s="2702" t="s">
        <v>2723</v>
      </c>
      <c r="I25" s="2719" t="s">
        <v>542</v>
      </c>
      <c r="J25" s="696" t="e">
        <f ca="1">J5-J16</f>
        <v>#N/A</v>
      </c>
      <c r="K25" s="2720" t="s">
        <v>543</v>
      </c>
      <c r="L25" s="2721"/>
      <c r="M25" s="2722"/>
    </row>
    <row r="26" spans="1:37" ht="18" customHeight="1">
      <c r="A26" s="2465" t="s">
        <v>2740</v>
      </c>
      <c r="B26" s="688" t="s">
        <v>2929</v>
      </c>
      <c r="C26" s="319" t="e">
        <f ca="1">ROUND((C19+C20)*F26,0)</f>
        <v>#N/A</v>
      </c>
      <c r="D26" s="713" t="s">
        <v>1193</v>
      </c>
      <c r="E26" s="699" t="s">
        <v>1194</v>
      </c>
      <c r="F26" s="698" t="e">
        <f ca="1">INDIRECT("'数据-取费表'!q"&amp;$G$1)</f>
        <v>#N/A</v>
      </c>
      <c r="G26" s="2315"/>
      <c r="H26" s="685" t="s">
        <v>2726</v>
      </c>
      <c r="I26" s="686" t="s">
        <v>1195</v>
      </c>
      <c r="J26" s="687" t="e">
        <f ca="1">IF(J5&lt;&gt;0,ROUND(J25*(1-((1+M28)/(1+M26))^M27)/(M26-M28),0),0)</f>
        <v>#N/A</v>
      </c>
      <c r="K26" s="714" t="s">
        <v>538</v>
      </c>
      <c r="L26" s="688" t="s">
        <v>539</v>
      </c>
      <c r="M26" s="698" t="e">
        <f ca="1">INDIRECT("'数据-取费表'!I"&amp;$G$1)</f>
        <v>#N/A</v>
      </c>
    </row>
    <row r="27" spans="1:37" ht="18" customHeight="1">
      <c r="A27" s="2465" t="s">
        <v>2746</v>
      </c>
      <c r="B27" s="688" t="s">
        <v>540</v>
      </c>
      <c r="C27" s="319" t="e">
        <f ca="1">ROUND(F21*F26,4)</f>
        <v>#N/A</v>
      </c>
      <c r="D27" s="713" t="s">
        <v>1197</v>
      </c>
      <c r="E27" s="708"/>
      <c r="F27" s="709"/>
      <c r="G27" s="2315"/>
      <c r="H27" s="690"/>
      <c r="I27" s="691"/>
      <c r="J27" s="692"/>
      <c r="K27" s="722" t="s">
        <v>1198</v>
      </c>
      <c r="L27" s="688" t="s">
        <v>546</v>
      </c>
      <c r="M27" s="723" t="e">
        <f ca="1">INDIRECT("'数据-取费表'!ag"&amp;$G$1)</f>
        <v>#N/A</v>
      </c>
    </row>
    <row r="28" spans="1:37" s="710" customFormat="1" ht="18" customHeight="1">
      <c r="A28" s="2465" t="s">
        <v>2748</v>
      </c>
      <c r="B28" s="688" t="s">
        <v>541</v>
      </c>
      <c r="C28" s="319">
        <f>ROUND(F28/(1+'数据-取费表'!B42),4)</f>
        <v>5.33E-2</v>
      </c>
      <c r="D28" s="713" t="s">
        <v>1204</v>
      </c>
      <c r="E28" s="688" t="s">
        <v>530</v>
      </c>
      <c r="F28" s="711">
        <f>'数据-取费表'!B41</f>
        <v>5.6000000000000001E-2</v>
      </c>
      <c r="G28" s="2316"/>
      <c r="H28" s="694"/>
      <c r="I28" s="695"/>
      <c r="J28" s="696"/>
      <c r="K28" s="717"/>
      <c r="L28" s="688" t="s">
        <v>547</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4" t="s">
        <v>2749</v>
      </c>
      <c r="B29" s="2715" t="s">
        <v>1206</v>
      </c>
      <c r="C29" s="2716" t="e">
        <f ca="1">ROUND((C19+C20+C23+C26)/(1-F21-C24-C27-C28),0)</f>
        <v>#N/A</v>
      </c>
      <c r="D29" s="2717"/>
      <c r="E29" s="2715"/>
      <c r="F29" s="2718"/>
      <c r="G29" s="2316"/>
      <c r="H29" s="724" t="s">
        <v>2733</v>
      </c>
      <c r="I29" s="725" t="s">
        <v>1199</v>
      </c>
      <c r="J29" s="726" t="e">
        <f ca="1">ROUND(J26/(1+F40)^F41,0)</f>
        <v>#N/A</v>
      </c>
      <c r="K29" s="727" t="s">
        <v>1200</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2" t="s">
        <v>2708</v>
      </c>
      <c r="B30" s="2703" t="s">
        <v>1164</v>
      </c>
      <c r="C30" s="696" t="e">
        <f ca="1">ROUND(C31+C36+C37+C38,0)</f>
        <v>#N/A</v>
      </c>
      <c r="D30" s="2712" t="s">
        <v>1165</v>
      </c>
      <c r="E30" s="2713"/>
      <c r="F30" s="2663"/>
      <c r="G30" s="2315"/>
      <c r="H30" s="1282"/>
      <c r="I30" s="1283"/>
      <c r="J30" s="1284"/>
      <c r="K30" s="1285"/>
      <c r="L30" s="1286"/>
      <c r="M30" s="1287"/>
    </row>
    <row r="31" spans="1:37" ht="18" customHeight="1">
      <c r="A31" s="2465" t="s">
        <v>2743</v>
      </c>
      <c r="B31" s="688" t="s">
        <v>528</v>
      </c>
      <c r="C31" s="319" t="e">
        <f ca="1">ROUND(IF(项目基本情况!B11="自然人",C5*F31,C32+C33+C34),0)</f>
        <v>#N/A</v>
      </c>
      <c r="D31" s="2755" t="s">
        <v>1168</v>
      </c>
      <c r="E31" s="2756" t="s">
        <v>1207</v>
      </c>
      <c r="F31" s="712" t="str">
        <f ca="1">IF(项目基本情况!B11="企业","",IF(INDIRECT("'数据-取费表'!c"&amp;$G$1)="住宅",4.5%,IF(F6*F7*F8/12&gt;20000,11%,6%)))</f>
        <v/>
      </c>
      <c r="G31" s="2315"/>
      <c r="H31" s="1282"/>
      <c r="I31" s="1283"/>
      <c r="J31" s="1284"/>
      <c r="K31" s="1285"/>
      <c r="L31" s="1286"/>
      <c r="M31" s="1287"/>
    </row>
    <row r="32" spans="1:37" ht="18" customHeight="1">
      <c r="A32" s="2465" t="s">
        <v>2740</v>
      </c>
      <c r="B32" s="688" t="s">
        <v>1170</v>
      </c>
      <c r="C32" s="319" t="e">
        <f ca="1">IF(项目基本情况!B11="自然人","——",ROUND(C5*F32/(1+'数据-取费表'!B42),0))</f>
        <v>#N/A</v>
      </c>
      <c r="D32" s="2756" t="s">
        <v>1171</v>
      </c>
      <c r="E32" s="688" t="s">
        <v>530</v>
      </c>
      <c r="F32" s="721">
        <f>'数据-取费表'!B41</f>
        <v>5.6000000000000001E-2</v>
      </c>
      <c r="G32" s="2315"/>
      <c r="H32" s="1288"/>
      <c r="I32" s="1289"/>
      <c r="J32" s="1290"/>
      <c r="K32" s="1291"/>
      <c r="L32" s="1292"/>
      <c r="M32" s="1293"/>
    </row>
    <row r="33" spans="1:18" ht="18" customHeight="1">
      <c r="A33" s="2465" t="s">
        <v>3008</v>
      </c>
      <c r="B33" s="688" t="s">
        <v>1173</v>
      </c>
      <c r="C33" s="319" t="e">
        <f ca="1">IF(项目基本情况!B11="自然人","——",IF(D33="按租金收入计税",ROUND(C5*F33,0),IF(D33="按房产原值计税",ROUND(C29*F33*0.7,0),INDIRECT("'数据-取费表'!Aj"&amp;$G$1))))</f>
        <v>#N/A</v>
      </c>
      <c r="D33" s="1305" t="s">
        <v>2793</v>
      </c>
      <c r="E33" s="688" t="s">
        <v>530</v>
      </c>
      <c r="F33" s="711">
        <f>IF(D33="按票据","——",IF(D33="按租金收入计税",'数据-取费表'!B51,'数据-取费表'!B50))</f>
        <v>1.2E-2</v>
      </c>
      <c r="G33" s="2315"/>
      <c r="H33" s="1294"/>
      <c r="I33" s="2920"/>
      <c r="J33" s="2921"/>
      <c r="K33" s="1295"/>
      <c r="L33" s="1294"/>
      <c r="M33" s="1294"/>
    </row>
    <row r="34" spans="1:18" ht="18" customHeight="1">
      <c r="A34" s="2657" t="s">
        <v>3009</v>
      </c>
      <c r="B34" s="500" t="s">
        <v>1175</v>
      </c>
      <c r="C34" s="320" t="e">
        <f ca="1">IF(项目基本情况!B11="自然人","——",ROUND(F34*F35,))</f>
        <v>#N/A</v>
      </c>
      <c r="D34" s="714" t="s">
        <v>1176</v>
      </c>
      <c r="E34" s="688" t="s">
        <v>1177</v>
      </c>
      <c r="F34" s="715">
        <f>'数据-取费表'!B52</f>
        <v>18</v>
      </c>
      <c r="G34" s="2315"/>
      <c r="H34" s="1282"/>
      <c r="I34" s="2920"/>
      <c r="J34" s="2921"/>
      <c r="K34" s="1296"/>
      <c r="L34" s="1297"/>
      <c r="M34" s="1297"/>
    </row>
    <row r="35" spans="1:18" ht="18" customHeight="1">
      <c r="A35" s="2732"/>
      <c r="B35" s="2730"/>
      <c r="C35" s="324"/>
      <c r="D35" s="717"/>
      <c r="E35" s="688" t="s">
        <v>1181</v>
      </c>
      <c r="F35" s="689" t="e">
        <f ca="1">INDIRECT("'数据-取费表'!r"&amp;$G$1)</f>
        <v>#N/A</v>
      </c>
      <c r="G35" s="2315"/>
      <c r="H35" s="1282"/>
      <c r="I35" s="2920"/>
      <c r="J35" s="2921"/>
      <c r="K35" s="1295"/>
      <c r="L35" s="1294"/>
      <c r="M35" s="1294"/>
    </row>
    <row r="36" spans="1:18" ht="18" customHeight="1">
      <c r="A36" s="2731" t="s">
        <v>2750</v>
      </c>
      <c r="B36" s="688" t="s">
        <v>1183</v>
      </c>
      <c r="C36" s="319" t="e">
        <f ca="1">ROUND(C29*F36,0)</f>
        <v>#N/A</v>
      </c>
      <c r="D36" s="2756" t="s">
        <v>1213</v>
      </c>
      <c r="E36" s="688" t="s">
        <v>530</v>
      </c>
      <c r="F36" s="718" t="e">
        <f ca="1">INDIRECT("'数据-取费表'!Ak"&amp;$G$1)</f>
        <v>#N/A</v>
      </c>
      <c r="G36" s="2315"/>
      <c r="H36" s="1294"/>
      <c r="I36" s="2920"/>
      <c r="J36" s="2921"/>
      <c r="K36" s="1298"/>
      <c r="L36" s="1294"/>
      <c r="M36" s="1294"/>
    </row>
    <row r="37" spans="1:18" ht="18" customHeight="1">
      <c r="A37" s="2465" t="s">
        <v>3013</v>
      </c>
      <c r="B37" s="688" t="s">
        <v>533</v>
      </c>
      <c r="C37" s="319" t="e">
        <f ca="1">ROUND(C13*F37,0)</f>
        <v>#N/A</v>
      </c>
      <c r="D37" s="2756" t="s">
        <v>534</v>
      </c>
      <c r="E37" s="688" t="s">
        <v>530</v>
      </c>
      <c r="F37" s="720" t="e">
        <f ca="1">INDIRECT("'数据-取费表'!Al"&amp;$G$1)</f>
        <v>#N/A</v>
      </c>
      <c r="G37" s="2315"/>
      <c r="H37" s="1294"/>
      <c r="I37" s="2920"/>
      <c r="J37" s="2921"/>
      <c r="K37" s="1298"/>
      <c r="L37" s="1294"/>
      <c r="M37" s="1294"/>
    </row>
    <row r="38" spans="1:18" ht="18" customHeight="1" thickBot="1">
      <c r="A38" s="2714" t="s">
        <v>3014</v>
      </c>
      <c r="B38" s="2715" t="s">
        <v>532</v>
      </c>
      <c r="C38" s="2716" t="e">
        <f ca="1">ROUND(C5*F38,1)</f>
        <v>#N/A</v>
      </c>
      <c r="D38" s="2717" t="s">
        <v>536</v>
      </c>
      <c r="E38" s="2715" t="s">
        <v>530</v>
      </c>
      <c r="F38" s="2711" t="e">
        <f ca="1">INDIRECT("'数据-取费表'!Am"&amp;$G$1)</f>
        <v>#N/A</v>
      </c>
      <c r="G38" s="2315"/>
      <c r="H38" s="1294"/>
      <c r="I38" s="2920"/>
      <c r="J38" s="2921"/>
      <c r="K38" s="1299"/>
      <c r="L38" s="1294"/>
      <c r="M38" s="1294"/>
    </row>
    <row r="39" spans="1:18" ht="24.6" customHeight="1" thickTop="1">
      <c r="A39" s="2702" t="s">
        <v>2723</v>
      </c>
      <c r="B39" s="2719" t="s">
        <v>542</v>
      </c>
      <c r="C39" s="696" t="e">
        <f ca="1">C5-C30</f>
        <v>#N/A</v>
      </c>
      <c r="D39" s="2720" t="s">
        <v>543</v>
      </c>
      <c r="E39" s="2721"/>
      <c r="F39" s="2722"/>
      <c r="G39" s="2315"/>
      <c r="H39" s="1294"/>
      <c r="I39" s="2920"/>
      <c r="J39" s="2921"/>
      <c r="K39" s="1299"/>
      <c r="L39" s="1294"/>
      <c r="M39" s="1294"/>
    </row>
    <row r="40" spans="1:18" ht="18" customHeight="1">
      <c r="A40" s="685" t="s">
        <v>2726</v>
      </c>
      <c r="B40" s="686" t="s">
        <v>544</v>
      </c>
      <c r="C40" s="687" t="e">
        <f ca="1">ROUND(C39*(1-((1+F42)/(1+F40))^F41)/(F40-F42),0)</f>
        <v>#N/A</v>
      </c>
      <c r="D40" s="714" t="s">
        <v>538</v>
      </c>
      <c r="E40" s="688" t="s">
        <v>539</v>
      </c>
      <c r="F40" s="698" t="e">
        <f ca="1">INDIRECT("'数据-取费表'!I"&amp;$G$1)</f>
        <v>#N/A</v>
      </c>
      <c r="G40" s="2315"/>
      <c r="H40" s="1300"/>
      <c r="I40" s="2920"/>
      <c r="J40" s="2921"/>
      <c r="K40" s="1299"/>
      <c r="L40" s="1300"/>
      <c r="M40" s="1300"/>
    </row>
    <row r="41" spans="1:18" ht="18" customHeight="1">
      <c r="A41" s="690"/>
      <c r="B41" s="691"/>
      <c r="C41" s="692"/>
      <c r="D41" s="722" t="s">
        <v>545</v>
      </c>
      <c r="E41" s="688" t="s">
        <v>546</v>
      </c>
      <c r="F41" s="723" t="e">
        <f ca="1">IF(INDIRECT("'数据-取费表'!af"&amp;$G$1)=0,INDIRECT("'数据-取费表'!ae"&amp;$G$1),INDIRECT("'数据-取费表'!af"&amp;$G$1))</f>
        <v>#N/A</v>
      </c>
      <c r="G41" s="2315"/>
      <c r="H41" s="1196"/>
      <c r="I41" s="2920"/>
      <c r="J41" s="2921"/>
      <c r="K41" s="1298"/>
      <c r="L41" s="1196"/>
      <c r="M41" s="1196"/>
    </row>
    <row r="42" spans="1:18" ht="18" customHeight="1">
      <c r="A42" s="694"/>
      <c r="B42" s="695"/>
      <c r="C42" s="696"/>
      <c r="D42" s="717"/>
      <c r="E42" s="688" t="s">
        <v>547</v>
      </c>
      <c r="F42" s="698" t="e">
        <f ca="1">INDIRECT("'数据-取费表'!v"&amp;$G$1)</f>
        <v>#N/A</v>
      </c>
      <c r="G42" s="2315"/>
      <c r="H42" s="1196"/>
      <c r="I42" s="2920"/>
      <c r="J42" s="2921"/>
      <c r="K42" s="1298"/>
      <c r="L42" s="1196"/>
      <c r="M42" s="1196"/>
    </row>
    <row r="43" spans="1:18" ht="18" customHeight="1" thickBot="1">
      <c r="A43" s="724" t="s">
        <v>2733</v>
      </c>
      <c r="B43" s="725" t="s">
        <v>548</v>
      </c>
      <c r="C43" s="726" t="e">
        <f ca="1">ROUND(C40/F43,0)</f>
        <v>#N/A</v>
      </c>
      <c r="D43" s="727" t="s">
        <v>549</v>
      </c>
      <c r="E43" s="728" t="s">
        <v>550</v>
      </c>
      <c r="F43" s="729" t="e">
        <f ca="1">INDIRECT("'数据-取费表'!k"&amp;$G$1)</f>
        <v>#N/A</v>
      </c>
      <c r="G43" s="2315"/>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3" t="e">
        <f ca="1">C68-C40</f>
        <v>#N/A</v>
      </c>
      <c r="D45" s="2764" t="s">
        <v>3024</v>
      </c>
      <c r="E45" s="1437"/>
      <c r="F45" s="1437"/>
      <c r="O45" s="2622" t="s">
        <v>2876</v>
      </c>
      <c r="P45" s="1300"/>
      <c r="Q45" s="1300"/>
      <c r="R45" s="1300"/>
    </row>
    <row r="46" spans="1:18" s="1480" customFormat="1" ht="21" thickBot="1">
      <c r="A46" s="2423" t="s">
        <v>2695</v>
      </c>
      <c r="B46" s="2424"/>
      <c r="C46" s="2761" t="e">
        <f ca="1">ROUND(C45/10000,0)</f>
        <v>#N/A</v>
      </c>
      <c r="D46" s="2762" t="str">
        <f>C2</f>
        <v>万元</v>
      </c>
      <c r="I46" s="2609" t="s">
        <v>2809</v>
      </c>
      <c r="J46" s="2610"/>
      <c r="K46" s="2611"/>
      <c r="L46" s="2613">
        <f>IF(M47="住宅",0,IF(L48&gt;J51,L60,J60))</f>
        <v>0</v>
      </c>
      <c r="O46" s="2625" t="s">
        <v>2854</v>
      </c>
      <c r="P46" s="2626" t="s">
        <v>2855</v>
      </c>
      <c r="Q46" s="2627" t="s">
        <v>2853</v>
      </c>
      <c r="R46" s="2627" t="s">
        <v>2856</v>
      </c>
    </row>
    <row r="47" spans="1:18" s="1480" customFormat="1" ht="15.75" thickBot="1">
      <c r="A47" s="2425" t="s">
        <v>1148</v>
      </c>
      <c r="B47" s="2461" t="s">
        <v>1149</v>
      </c>
      <c r="C47" s="2461" t="s">
        <v>1150</v>
      </c>
      <c r="D47" s="2461" t="s">
        <v>1151</v>
      </c>
      <c r="E47" s="2565" t="s">
        <v>1152</v>
      </c>
      <c r="F47" s="2566"/>
      <c r="G47" s="1482"/>
      <c r="I47" s="2584" t="s">
        <v>2802</v>
      </c>
      <c r="J47" s="2585" t="s">
        <v>131</v>
      </c>
      <c r="K47" s="2594" t="s">
        <v>2825</v>
      </c>
      <c r="L47" s="2595" t="e">
        <f ca="1">INDIRECT("'数据-取费表'!d"&amp;$G$1)</f>
        <v>#N/A</v>
      </c>
      <c r="M47" s="2615" t="str">
        <f>IF(ISNUMBER(FIND("住宅",C1)),"住宅","非住宅")</f>
        <v>住宅</v>
      </c>
      <c r="O47" s="2618" t="s">
        <v>2838</v>
      </c>
      <c r="P47" s="2628" t="s">
        <v>2857</v>
      </c>
      <c r="Q47" s="2619" t="e">
        <f ca="1">C40+J29</f>
        <v>#N/A</v>
      </c>
      <c r="R47" s="2619" t="s">
        <v>2858</v>
      </c>
    </row>
    <row r="48" spans="1:18" s="1480" customFormat="1" ht="47.25" thickBot="1">
      <c r="A48" s="2747" t="s">
        <v>3019</v>
      </c>
      <c r="B48" s="686" t="s">
        <v>2702</v>
      </c>
      <c r="C48" s="2757" t="e">
        <f ca="1">C49+C53+C55</f>
        <v>#N/A</v>
      </c>
      <c r="D48" s="2751"/>
      <c r="E48" s="2752"/>
      <c r="F48" s="2445"/>
      <c r="G48" s="1482"/>
      <c r="H48" s="1483"/>
      <c r="I48" s="2574" t="s">
        <v>2803</v>
      </c>
      <c r="J48" s="2586" t="s">
        <v>2804</v>
      </c>
      <c r="K48" s="2596" t="s">
        <v>908</v>
      </c>
      <c r="L48" s="2192" t="e">
        <f ca="1">INDIRECT("'数据-取费表'!f"&amp;$G$1)</f>
        <v>#N/A</v>
      </c>
      <c r="O48" s="2618" t="s">
        <v>2839</v>
      </c>
      <c r="P48" s="2628" t="s">
        <v>2859</v>
      </c>
      <c r="Q48" s="2619" t="e">
        <f ca="1">J60</f>
        <v>#N/A</v>
      </c>
      <c r="R48" s="2619" t="s">
        <v>2867</v>
      </c>
    </row>
    <row r="49" spans="1:18" s="1480" customFormat="1" ht="15.75" thickBot="1">
      <c r="A49" s="2458" t="s">
        <v>3020</v>
      </c>
      <c r="B49" s="2750" t="s">
        <v>3022</v>
      </c>
      <c r="C49" s="2759" t="e">
        <f ca="1">ROUND(F49*F51*F50*(1-F52),0)</f>
        <v>#N/A</v>
      </c>
      <c r="D49" s="2561" t="s">
        <v>2703</v>
      </c>
      <c r="E49" s="2564" t="s">
        <v>2696</v>
      </c>
      <c r="F49" s="2567">
        <v>1500</v>
      </c>
      <c r="G49" s="1484"/>
      <c r="H49" s="1483"/>
      <c r="I49" s="2574" t="s">
        <v>2823</v>
      </c>
      <c r="J49" s="2587">
        <v>2002</v>
      </c>
      <c r="K49" s="2597" t="s">
        <v>2828</v>
      </c>
      <c r="L49" s="2598">
        <v>0</v>
      </c>
      <c r="O49" s="2620" t="s">
        <v>2840</v>
      </c>
      <c r="P49" s="2628" t="s">
        <v>2860</v>
      </c>
      <c r="Q49" s="2619" t="e">
        <f ca="1">C29</f>
        <v>#N/A</v>
      </c>
      <c r="R49" s="2619" t="s">
        <v>2858</v>
      </c>
    </row>
    <row r="50" spans="1:18" s="1480" customFormat="1" ht="15.75" thickBot="1">
      <c r="A50" s="2459"/>
      <c r="B50" s="2462"/>
      <c r="C50" s="2463"/>
      <c r="D50" s="2432"/>
      <c r="E50" s="2562" t="s">
        <v>1154</v>
      </c>
      <c r="F50" s="2563" t="e">
        <f ca="1">F7</f>
        <v>#N/A</v>
      </c>
      <c r="H50" s="1483"/>
      <c r="I50" s="2574" t="s">
        <v>2805</v>
      </c>
      <c r="J50" s="2588">
        <f>SUMPRODUCT((I63:I65=J47)*(J62:L62=J48)*(J63:L65))</f>
        <v>60</v>
      </c>
      <c r="K50" s="2597" t="s">
        <v>2829</v>
      </c>
      <c r="L50" s="2598">
        <v>0</v>
      </c>
      <c r="M50" s="2592"/>
      <c r="O50" s="2620" t="s">
        <v>2841</v>
      </c>
      <c r="P50" s="2628" t="s">
        <v>2868</v>
      </c>
      <c r="Q50" s="2621">
        <f>J58</f>
        <v>0.6</v>
      </c>
      <c r="R50" s="2619"/>
    </row>
    <row r="51" spans="1:18" s="1480" customFormat="1" ht="15.75" thickBot="1">
      <c r="A51" s="2460"/>
      <c r="B51" s="2462"/>
      <c r="C51" s="2463"/>
      <c r="D51" s="2432"/>
      <c r="E51" s="2464" t="s">
        <v>1155</v>
      </c>
      <c r="F51" s="689" t="e">
        <f ca="1">F8</f>
        <v>#N/A</v>
      </c>
      <c r="I51" s="2589" t="s">
        <v>2810</v>
      </c>
      <c r="J51" s="2590">
        <f>IF(J49="",J50,J49+J50-YEAR('数据-取费表'!B2))</f>
        <v>45</v>
      </c>
      <c r="K51" s="2599" t="s">
        <v>2830</v>
      </c>
      <c r="L51" s="2612" t="e">
        <f ca="1">ROUND(-PV(INDIRECT("'数据-取费表'!h"&amp;$G$1),L48,(C39-C13*C76),0),0)</f>
        <v>#N/A</v>
      </c>
      <c r="M51" s="2593"/>
      <c r="O51" s="2620" t="s">
        <v>2842</v>
      </c>
      <c r="P51" s="2628" t="s">
        <v>2869</v>
      </c>
      <c r="Q51" s="2621">
        <f>J52</f>
        <v>0.09</v>
      </c>
      <c r="R51" s="2619"/>
    </row>
    <row r="52" spans="1:18" s="1480" customFormat="1" ht="15.75" thickBot="1">
      <c r="A52" s="2460"/>
      <c r="B52" s="2462"/>
      <c r="C52" s="2463"/>
      <c r="D52" s="2432"/>
      <c r="E52" s="2464" t="s">
        <v>1156</v>
      </c>
      <c r="F52" s="2560">
        <v>0.1</v>
      </c>
      <c r="I52" s="2591" t="s">
        <v>2834</v>
      </c>
      <c r="J52" s="2605">
        <v>0.09</v>
      </c>
      <c r="K52" s="2591" t="s">
        <v>2818</v>
      </c>
      <c r="L52" s="2605">
        <v>0.04</v>
      </c>
      <c r="M52" s="2424"/>
      <c r="O52" s="2620" t="s">
        <v>2843</v>
      </c>
      <c r="P52" s="2628" t="s">
        <v>2861</v>
      </c>
      <c r="Q52" s="2619">
        <f>J53</f>
        <v>45</v>
      </c>
      <c r="R52" s="2619" t="s">
        <v>2862</v>
      </c>
    </row>
    <row r="53" spans="1:18" s="1480" customFormat="1" ht="43.5" thickBot="1">
      <c r="A53" s="2748" t="s">
        <v>3021</v>
      </c>
      <c r="B53" s="2749" t="s">
        <v>2931</v>
      </c>
      <c r="C53" s="702" t="e">
        <f ca="1">ROUND(IF(F53="押一",F49*F51*F50/12*F11,IF(F53="押二",F49*F51*F50/12*2*F11,IF(F53="押三",F49*F51*F50/12*3*F11,C54*F11))),0)</f>
        <v>#N/A</v>
      </c>
      <c r="D53" s="2669" t="s">
        <v>2939</v>
      </c>
      <c r="E53" s="2121" t="s">
        <v>2933</v>
      </c>
      <c r="F53" s="2867" t="s">
        <v>3025</v>
      </c>
      <c r="I53" s="2601" t="s">
        <v>2836</v>
      </c>
      <c r="J53" s="2602">
        <f>IF(M47="住宅",J51,MIN(J51,L48))</f>
        <v>45</v>
      </c>
      <c r="K53" s="366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64"/>
      <c r="O53" s="2618" t="s">
        <v>2844</v>
      </c>
      <c r="P53" s="2628" t="s">
        <v>2863</v>
      </c>
      <c r="Q53" s="2619" t="e">
        <f ca="1">Q47+Q48</f>
        <v>#N/A</v>
      </c>
      <c r="R53" s="2619" t="s">
        <v>2845</v>
      </c>
    </row>
    <row r="54" spans="1:18" s="1480" customFormat="1" ht="16.5" thickBot="1">
      <c r="A54" s="2458"/>
      <c r="B54" s="2864" t="s">
        <v>3097</v>
      </c>
      <c r="C54" s="2442"/>
      <c r="D54" s="2669"/>
      <c r="E54" s="2814"/>
      <c r="F54" s="2568"/>
      <c r="I54" s="2439"/>
      <c r="J54" s="2600"/>
      <c r="K54" s="2600"/>
      <c r="L54" s="2600"/>
      <c r="M54" s="1484"/>
      <c r="O54" s="2622" t="s">
        <v>2870</v>
      </c>
      <c r="P54" s="1300"/>
      <c r="Q54" s="1300"/>
      <c r="R54" s="1300"/>
    </row>
    <row r="55" spans="1:18" s="1480" customFormat="1" ht="16.5" thickBot="1">
      <c r="A55" s="2706" t="s">
        <v>2944</v>
      </c>
      <c r="B55" s="2707" t="s">
        <v>2932</v>
      </c>
      <c r="C55" s="2708"/>
      <c r="D55" s="2669"/>
      <c r="E55" s="2753"/>
      <c r="F55" s="2568"/>
      <c r="I55" s="2571" t="s">
        <v>2811</v>
      </c>
      <c r="J55" s="2572"/>
      <c r="K55" s="2582" t="s">
        <v>2812</v>
      </c>
      <c r="L55" s="2604" t="s">
        <v>2852</v>
      </c>
      <c r="O55" s="2625" t="s">
        <v>2854</v>
      </c>
      <c r="P55" s="2626" t="s">
        <v>2855</v>
      </c>
      <c r="Q55" s="2627" t="s">
        <v>2853</v>
      </c>
      <c r="R55" s="2627" t="s">
        <v>2856</v>
      </c>
    </row>
    <row r="56" spans="1:18" s="1480" customFormat="1" ht="44.25" thickTop="1" thickBot="1">
      <c r="A56" s="2436">
        <v>2</v>
      </c>
      <c r="B56" s="2437" t="s">
        <v>1157</v>
      </c>
      <c r="C56" s="612" t="e">
        <f ca="1">C13</f>
        <v>#N/A</v>
      </c>
      <c r="D56" s="2734"/>
      <c r="E56" s="2438"/>
      <c r="F56" s="2568"/>
      <c r="I56" s="2573" t="s">
        <v>2813</v>
      </c>
      <c r="J56" s="2603" t="s">
        <v>44</v>
      </c>
      <c r="K56" s="2574" t="s">
        <v>2817</v>
      </c>
      <c r="L56" s="2192" t="e">
        <f ca="1">IF(L48&lt;J51,"——",L48-J51)</f>
        <v>#N/A</v>
      </c>
      <c r="O56" s="2618" t="s">
        <v>2838</v>
      </c>
      <c r="P56" s="2628" t="s">
        <v>2857</v>
      </c>
      <c r="Q56" s="2619" t="e">
        <f ca="1">C40+J29</f>
        <v>#N/A</v>
      </c>
      <c r="R56" s="2619" t="s">
        <v>2858</v>
      </c>
    </row>
    <row r="57" spans="1:18" s="1480" customFormat="1" ht="29.25" thickBot="1">
      <c r="A57" s="2569"/>
      <c r="B57" s="2429" t="s">
        <v>1206</v>
      </c>
      <c r="C57" s="618" t="e">
        <f ca="1">C29</f>
        <v>#N/A</v>
      </c>
      <c r="D57" s="2440"/>
      <c r="E57" s="2441"/>
      <c r="F57" s="2570"/>
      <c r="I57" s="2575" t="s">
        <v>2835</v>
      </c>
      <c r="J57" s="2579" t="e">
        <f ca="1">IF(OR(M47="住宅",J51&lt;L48,J56="是"),"——",J51-L48)</f>
        <v>#N/A</v>
      </c>
      <c r="K57" s="2574" t="s">
        <v>2827</v>
      </c>
      <c r="L57" s="2192" t="e">
        <f ca="1">IF(L48&lt;J51,"——",IF(L55="比较法",L49,IF(L55="基准地价",L50,L51)))</f>
        <v>#N/A</v>
      </c>
      <c r="O57" s="2618" t="s">
        <v>2839</v>
      </c>
      <c r="P57" s="2628" t="s">
        <v>2864</v>
      </c>
      <c r="Q57" s="2619" t="e">
        <f ca="1">L60</f>
        <v>#N/A</v>
      </c>
      <c r="R57" s="2619" t="s">
        <v>2879</v>
      </c>
    </row>
    <row r="58" spans="1:18" s="1480" customFormat="1" ht="29.25" thickBot="1">
      <c r="A58" s="701" t="s">
        <v>2708</v>
      </c>
      <c r="B58" s="2437" t="s">
        <v>1164</v>
      </c>
      <c r="C58" s="702" t="e">
        <f ca="1">ROUND(C59+C64+C65+C66,0)</f>
        <v>#N/A</v>
      </c>
      <c r="D58" s="2443" t="s">
        <v>1165</v>
      </c>
      <c r="E58" s="2444"/>
      <c r="F58" s="2445"/>
      <c r="I58" s="2575" t="s">
        <v>2814</v>
      </c>
      <c r="J58" s="2580">
        <v>0.6</v>
      </c>
      <c r="K58" s="2599" t="s">
        <v>2837</v>
      </c>
      <c r="L58" s="2192">
        <f ca="1">IF(ISERROR(POWER(1+L52,L47-L48)*(POWER(1+L52,L48)-1)/(POWER(1+L52,L47)-1)),0,POWER(1+L52,L47-L48)*(POWER(1+L52,L48)-1)/(POWER(1+L52,L47)-1))</f>
        <v>0</v>
      </c>
      <c r="O58" s="2620" t="s">
        <v>2840</v>
      </c>
      <c r="P58" s="2628" t="s">
        <v>2871</v>
      </c>
      <c r="Q58" s="2619">
        <f>IF(L55="比较法",L49,IF(L55="基准地价",L50,0))</f>
        <v>0</v>
      </c>
      <c r="R58" s="2619" t="s">
        <v>2858</v>
      </c>
    </row>
    <row r="59" spans="1:18" s="1480" customFormat="1" ht="29.25" thickBot="1">
      <c r="A59" s="2465" t="s">
        <v>2743</v>
      </c>
      <c r="B59" s="2429" t="s">
        <v>528</v>
      </c>
      <c r="C59" s="319" t="e">
        <f ca="1">ROUND(IF(项目基本情况!B11="自然人",C48*F59,C60+C61+C62),0)</f>
        <v>#N/A</v>
      </c>
      <c r="D59" s="2446" t="s">
        <v>1168</v>
      </c>
      <c r="E59" s="2447" t="s">
        <v>1169</v>
      </c>
      <c r="F59" s="712" t="str">
        <f ca="1">IF(项目基本情况!B11="企业","",IF(INDIRECT("'数据-取费表'!c"&amp;$G$1)="住宅",4.5%,IF(F49*F50*F51/12&gt;20000,11%,6%)))</f>
        <v/>
      </c>
      <c r="I59" s="2575" t="s">
        <v>2815</v>
      </c>
      <c r="J59" s="2579" t="e">
        <f ca="1">IF(OR(M47="住宅",J51&lt;L48,J56="是"),"——",ROUND(C29*J58,0))</f>
        <v>#N/A</v>
      </c>
      <c r="K59" s="2599" t="s">
        <v>2824</v>
      </c>
      <c r="L59" s="2192">
        <f ca="1">IF(ISERROR(POWER(1+L52,L47-J51)*(POWER(1+L52,J51)-1)/(POWER(1+L52,L47)-1)),0,POWER(1+L52,L47-J51)*(POWER(1+L52,J51)-1)/(POWER(1+L52,L47)-1))</f>
        <v>0</v>
      </c>
      <c r="O59" s="2620" t="s">
        <v>2841</v>
      </c>
      <c r="P59" s="2628" t="s">
        <v>2872</v>
      </c>
      <c r="Q59" s="2621">
        <f>L52</f>
        <v>0.04</v>
      </c>
      <c r="R59" s="2619"/>
    </row>
    <row r="60" spans="1:18" s="1480" customFormat="1" ht="20.25" thickBot="1">
      <c r="A60" s="2465" t="s">
        <v>2740</v>
      </c>
      <c r="B60" s="2429" t="s">
        <v>1170</v>
      </c>
      <c r="C60" s="319" t="e">
        <f ca="1">IF(项目基本情况!B11="自然人","——",ROUND(C48*F60/(1+'数据-取费表'!B42),0))</f>
        <v>#N/A</v>
      </c>
      <c r="D60" s="2447" t="s">
        <v>1171</v>
      </c>
      <c r="E60" s="2429" t="s">
        <v>530</v>
      </c>
      <c r="F60" s="721">
        <f t="shared" ref="F60:F66" si="0">F32</f>
        <v>5.6000000000000001E-2</v>
      </c>
      <c r="I60" s="2576" t="s">
        <v>2816</v>
      </c>
      <c r="J60" s="2581" t="e">
        <f ca="1">IF(OR(M47="住宅",J51&lt;L48,J56="是"),"0",ROUND(J59/(1+J52)^J53,0))</f>
        <v>#N/A</v>
      </c>
      <c r="K60" s="2583" t="s">
        <v>2819</v>
      </c>
      <c r="L60" s="2581" t="e">
        <f ca="1">IF(OR(M47="住宅",L48&lt;J51),0,ROUND(L57*(L58/L59-1),0))</f>
        <v>#N/A</v>
      </c>
      <c r="O60" s="2620" t="s">
        <v>2842</v>
      </c>
      <c r="P60" s="2628" t="s">
        <v>2873</v>
      </c>
      <c r="Q60" s="2619">
        <f ca="1">L58</f>
        <v>0</v>
      </c>
      <c r="R60" s="2619" t="s">
        <v>2847</v>
      </c>
    </row>
    <row r="61" spans="1:18" s="1480" customFormat="1" ht="20.25" thickBot="1">
      <c r="A61" s="2465" t="s">
        <v>2741</v>
      </c>
      <c r="B61" s="2429" t="s">
        <v>1173</v>
      </c>
      <c r="C61" s="319" t="e">
        <f ca="1">IF(项目基本情况!B11="自然人","——",IF(D61="按租金收入计税",ROUND(C48*F61,0),IF(D61="按房产原值计税",ROUND(C57*F61*0.7,0),INDIRECT("'数据-取费表'!Aj"&amp;$G$1))))</f>
        <v>#N/A</v>
      </c>
      <c r="D61" s="1305" t="s">
        <v>2793</v>
      </c>
      <c r="E61" s="2429" t="s">
        <v>530</v>
      </c>
      <c r="F61" s="711">
        <f t="shared" si="0"/>
        <v>1.2E-2</v>
      </c>
      <c r="I61" s="2439"/>
      <c r="J61" s="2439"/>
      <c r="K61" s="2439"/>
      <c r="L61" s="2439"/>
      <c r="O61" s="2620" t="s">
        <v>2843</v>
      </c>
      <c r="P61" s="2628" t="s">
        <v>2874</v>
      </c>
      <c r="Q61" s="2619">
        <f ca="1">L59</f>
        <v>0</v>
      </c>
      <c r="R61" s="2619" t="s">
        <v>2848</v>
      </c>
    </row>
    <row r="62" spans="1:18" s="1480" customFormat="1" ht="15.75" thickBot="1">
      <c r="A62" s="2465" t="s">
        <v>2742</v>
      </c>
      <c r="B62" s="2428" t="s">
        <v>1175</v>
      </c>
      <c r="C62" s="320" t="e">
        <f ca="1">IF(项目基本情况!B11="自然人","——",ROUND(F62*F63,0))</f>
        <v>#N/A</v>
      </c>
      <c r="D62" s="2448" t="s">
        <v>1176</v>
      </c>
      <c r="E62" s="2429" t="s">
        <v>1177</v>
      </c>
      <c r="F62" s="715">
        <f t="shared" si="0"/>
        <v>18</v>
      </c>
      <c r="I62" s="2577" t="s">
        <v>2806</v>
      </c>
      <c r="J62" s="2578" t="s">
        <v>2807</v>
      </c>
      <c r="K62" s="2578" t="s">
        <v>2808</v>
      </c>
      <c r="L62" s="2578" t="s">
        <v>2804</v>
      </c>
      <c r="O62" s="2618" t="s">
        <v>2844</v>
      </c>
      <c r="P62" s="2628" t="s">
        <v>2863</v>
      </c>
      <c r="Q62" s="2619" t="e">
        <f ca="1">Q56+Q57</f>
        <v>#N/A</v>
      </c>
      <c r="R62" s="2619" t="s">
        <v>2845</v>
      </c>
    </row>
    <row r="63" spans="1:18" s="1480" customFormat="1" ht="16.5" thickBot="1">
      <c r="A63" s="716"/>
      <c r="B63" s="2435"/>
      <c r="C63" s="324"/>
      <c r="D63" s="2449"/>
      <c r="E63" s="2429" t="s">
        <v>1181</v>
      </c>
      <c r="F63" s="689" t="e">
        <f t="shared" ca="1" si="0"/>
        <v>#N/A</v>
      </c>
      <c r="I63" s="2577" t="s">
        <v>2820</v>
      </c>
      <c r="J63" s="2578">
        <v>70</v>
      </c>
      <c r="K63" s="2578">
        <v>50</v>
      </c>
      <c r="L63" s="2578">
        <v>80</v>
      </c>
      <c r="O63" s="2622" t="s">
        <v>2877</v>
      </c>
      <c r="P63" s="1300"/>
      <c r="Q63" s="1300"/>
      <c r="R63" s="1300"/>
    </row>
    <row r="64" spans="1:18" s="1480" customFormat="1" ht="15.75" thickBot="1">
      <c r="A64" s="2465" t="s">
        <v>2750</v>
      </c>
      <c r="B64" s="2429" t="s">
        <v>1183</v>
      </c>
      <c r="C64" s="319" t="e">
        <f ca="1">ROUND(C57*F64,0)</f>
        <v>#N/A</v>
      </c>
      <c r="D64" s="2447" t="s">
        <v>1213</v>
      </c>
      <c r="E64" s="2429" t="s">
        <v>530</v>
      </c>
      <c r="F64" s="718" t="e">
        <f t="shared" ca="1" si="0"/>
        <v>#N/A</v>
      </c>
      <c r="I64" s="2577" t="s">
        <v>126</v>
      </c>
      <c r="J64" s="2578">
        <v>50</v>
      </c>
      <c r="K64" s="2578">
        <v>35</v>
      </c>
      <c r="L64" s="2578">
        <v>60</v>
      </c>
      <c r="O64" s="2625" t="s">
        <v>2854</v>
      </c>
      <c r="P64" s="2626" t="s">
        <v>2855</v>
      </c>
      <c r="Q64" s="2627" t="s">
        <v>2853</v>
      </c>
      <c r="R64" s="2627" t="s">
        <v>2856</v>
      </c>
    </row>
    <row r="65" spans="1:18" s="1480" customFormat="1" ht="15.75" thickBot="1">
      <c r="A65" s="2465" t="s">
        <v>2744</v>
      </c>
      <c r="B65" s="2429" t="s">
        <v>533</v>
      </c>
      <c r="C65" s="319" t="e">
        <f ca="1">ROUND(C56*F65,0)</f>
        <v>#N/A</v>
      </c>
      <c r="D65" s="2447" t="s">
        <v>534</v>
      </c>
      <c r="E65" s="2429" t="s">
        <v>530</v>
      </c>
      <c r="F65" s="720" t="e">
        <f t="shared" ca="1" si="0"/>
        <v>#N/A</v>
      </c>
      <c r="I65" s="2577" t="s">
        <v>2822</v>
      </c>
      <c r="J65" s="2578">
        <v>40</v>
      </c>
      <c r="K65" s="2578">
        <v>30</v>
      </c>
      <c r="L65" s="2578">
        <v>50</v>
      </c>
      <c r="O65" s="2618" t="s">
        <v>2838</v>
      </c>
      <c r="P65" s="2628" t="s">
        <v>2857</v>
      </c>
      <c r="Q65" s="2619" t="e">
        <f ca="1">C40+J29</f>
        <v>#N/A</v>
      </c>
      <c r="R65" s="2619" t="s">
        <v>2858</v>
      </c>
    </row>
    <row r="66" spans="1:18" s="1480" customFormat="1" ht="20.25" thickBot="1">
      <c r="A66" s="2465" t="s">
        <v>2745</v>
      </c>
      <c r="B66" s="2429" t="s">
        <v>532</v>
      </c>
      <c r="C66" s="319" t="e">
        <f ca="1">ROUND(C48*F66,0)</f>
        <v>#N/A</v>
      </c>
      <c r="D66" s="2447" t="s">
        <v>536</v>
      </c>
      <c r="E66" s="2429" t="s">
        <v>530</v>
      </c>
      <c r="F66" s="698" t="e">
        <f t="shared" ca="1" si="0"/>
        <v>#N/A</v>
      </c>
      <c r="O66" s="2618" t="s">
        <v>2839</v>
      </c>
      <c r="P66" s="2628" t="s">
        <v>2864</v>
      </c>
      <c r="Q66" s="2619" t="e">
        <f ca="1">L60</f>
        <v>#N/A</v>
      </c>
      <c r="R66" s="2619" t="s">
        <v>2846</v>
      </c>
    </row>
    <row r="67" spans="1:18" s="1480" customFormat="1" ht="24.75" thickBot="1">
      <c r="A67" s="2436" t="s">
        <v>2723</v>
      </c>
      <c r="B67" s="2450" t="s">
        <v>542</v>
      </c>
      <c r="C67" s="702" t="e">
        <f ca="1">C48-C58</f>
        <v>#N/A</v>
      </c>
      <c r="D67" s="2446" t="s">
        <v>543</v>
      </c>
      <c r="E67" s="2451"/>
      <c r="F67" s="2452"/>
      <c r="O67" s="2620" t="s">
        <v>2840</v>
      </c>
      <c r="P67" s="2628" t="s">
        <v>2871</v>
      </c>
      <c r="Q67" s="2623" t="e">
        <f ca="1">L51</f>
        <v>#N/A</v>
      </c>
      <c r="R67" s="2624" t="s">
        <v>2881</v>
      </c>
    </row>
    <row r="68" spans="1:18" s="1480" customFormat="1" ht="20.25" thickBot="1">
      <c r="A68" s="2426" t="s">
        <v>2726</v>
      </c>
      <c r="B68" s="2427" t="s">
        <v>544</v>
      </c>
      <c r="C68" s="687" t="e">
        <f ca="1">ROUND(C67*(1-((1+F70)/(1+F68))^F69)/(F68-F70),0)</f>
        <v>#N/A</v>
      </c>
      <c r="D68" s="2448" t="s">
        <v>538</v>
      </c>
      <c r="E68" s="2429" t="s">
        <v>539</v>
      </c>
      <c r="F68" s="698" t="e">
        <f ca="1">F40</f>
        <v>#N/A</v>
      </c>
      <c r="O68" s="2620" t="s">
        <v>2841</v>
      </c>
      <c r="P68" s="2629" t="s">
        <v>2875</v>
      </c>
      <c r="Q68" s="2619" t="e">
        <f ca="1">ROUND(Q69-Q70*Q71,0)</f>
        <v>#N/A</v>
      </c>
      <c r="R68" s="2619" t="s">
        <v>2880</v>
      </c>
    </row>
    <row r="69" spans="1:18" s="1480" customFormat="1" ht="15.75" thickBot="1">
      <c r="A69" s="2430"/>
      <c r="B69" s="2431"/>
      <c r="C69" s="692"/>
      <c r="D69" s="2453" t="s">
        <v>1198</v>
      </c>
      <c r="E69" s="2429" t="s">
        <v>546</v>
      </c>
      <c r="F69" s="723" t="e">
        <f ca="1">F41</f>
        <v>#N/A</v>
      </c>
      <c r="O69" s="2620" t="s">
        <v>2849</v>
      </c>
      <c r="P69" s="2629" t="s">
        <v>2865</v>
      </c>
      <c r="Q69" s="2619" t="e">
        <f ca="1">C39</f>
        <v>#N/A</v>
      </c>
      <c r="R69" s="2619" t="s">
        <v>2858</v>
      </c>
    </row>
    <row r="70" spans="1:18" s="1480" customFormat="1" ht="15.75" thickBot="1">
      <c r="A70" s="2433"/>
      <c r="B70" s="2434"/>
      <c r="C70" s="696"/>
      <c r="D70" s="2449"/>
      <c r="E70" s="2429" t="s">
        <v>547</v>
      </c>
      <c r="F70" s="2560" t="e">
        <f ca="1">F42</f>
        <v>#N/A</v>
      </c>
      <c r="O70" s="2620" t="s">
        <v>2850</v>
      </c>
      <c r="P70" s="2629" t="s">
        <v>2866</v>
      </c>
      <c r="Q70" s="2619" t="e">
        <f ca="1">C13</f>
        <v>#N/A</v>
      </c>
      <c r="R70" s="2619" t="s">
        <v>2858</v>
      </c>
    </row>
    <row r="71" spans="1:18" s="1480" customFormat="1" ht="15.75" thickBot="1">
      <c r="A71" s="2454" t="s">
        <v>2733</v>
      </c>
      <c r="B71" s="2455" t="s">
        <v>548</v>
      </c>
      <c r="C71" s="726" t="e">
        <f ca="1">ROUND(C68/F71,0)</f>
        <v>#N/A</v>
      </c>
      <c r="D71" s="2456" t="s">
        <v>549</v>
      </c>
      <c r="E71" s="2457" t="s">
        <v>550</v>
      </c>
      <c r="F71" s="729" t="e">
        <f ca="1">F43</f>
        <v>#N/A</v>
      </c>
      <c r="I71" s="2424"/>
      <c r="K71" s="2424"/>
      <c r="O71" s="2620" t="s">
        <v>2851</v>
      </c>
      <c r="P71" s="2629" t="s">
        <v>2878</v>
      </c>
      <c r="Q71" s="2621" t="e">
        <f ca="1">C76</f>
        <v>#N/A</v>
      </c>
      <c r="R71" s="2619"/>
    </row>
    <row r="72" spans="1:18" s="1480" customFormat="1" ht="15.75" thickBot="1">
      <c r="B72" s="1485"/>
      <c r="C72" s="1485"/>
      <c r="I72" s="2424"/>
      <c r="O72" s="2620" t="s">
        <v>2842</v>
      </c>
      <c r="P72" s="2628" t="s">
        <v>2872</v>
      </c>
      <c r="Q72" s="2621">
        <f>L52</f>
        <v>0.04</v>
      </c>
      <c r="R72" s="2619"/>
    </row>
    <row r="73" spans="1:18" ht="20.25" thickBot="1">
      <c r="A73" s="1480"/>
      <c r="B73" s="1485"/>
      <c r="C73" s="1485"/>
      <c r="D73" s="1480"/>
      <c r="E73" s="1480"/>
      <c r="F73" s="1480"/>
      <c r="I73" s="2614"/>
      <c r="O73" s="2620" t="s">
        <v>2843</v>
      </c>
      <c r="P73" s="2628" t="s">
        <v>2873</v>
      </c>
      <c r="Q73" s="2619">
        <f ca="1">L58</f>
        <v>0</v>
      </c>
      <c r="R73" s="2619" t="s">
        <v>2847</v>
      </c>
    </row>
    <row r="74" spans="1:18" ht="20.25" thickBot="1">
      <c r="A74" s="1480"/>
      <c r="B74" s="731" t="s">
        <v>551</v>
      </c>
      <c r="C74" s="732"/>
      <c r="D74" s="1480"/>
      <c r="E74" s="1480"/>
      <c r="F74" s="1480"/>
      <c r="O74" s="2620" t="s">
        <v>2882</v>
      </c>
      <c r="P74" s="2628" t="s">
        <v>2874</v>
      </c>
      <c r="Q74" s="2619">
        <f ca="1">L59</f>
        <v>0</v>
      </c>
      <c r="R74" s="2619" t="s">
        <v>2848</v>
      </c>
    </row>
    <row r="75" spans="1:18" ht="15.75" thickBot="1">
      <c r="A75" s="1480"/>
      <c r="B75" s="733" t="s">
        <v>1211</v>
      </c>
      <c r="C75" s="734" t="e">
        <f ca="1">ROUND(C13*C76,0)</f>
        <v>#N/A</v>
      </c>
      <c r="D75" s="1480"/>
      <c r="E75" s="1480"/>
      <c r="F75" s="1480"/>
      <c r="K75" s="1481"/>
      <c r="L75" s="1480"/>
      <c r="O75" s="2618" t="s">
        <v>2844</v>
      </c>
      <c r="P75" s="2628" t="s">
        <v>2863</v>
      </c>
      <c r="Q75" s="2619" t="e">
        <f ca="1">Q65+Q66</f>
        <v>#N/A</v>
      </c>
      <c r="R75" s="2619" t="s">
        <v>2845</v>
      </c>
    </row>
    <row r="76" spans="1:18">
      <c r="B76" s="735" t="s">
        <v>1212</v>
      </c>
      <c r="C76" s="736" t="e">
        <f ca="1">INDIRECT("'数据-取费表'!j"&amp;$G$1)</f>
        <v>#N/A</v>
      </c>
      <c r="I76" s="1480"/>
      <c r="J76" s="1480"/>
      <c r="K76" s="1481"/>
      <c r="L76" s="1480"/>
    </row>
    <row r="77" spans="1:18">
      <c r="B77" s="737" t="s">
        <v>1215</v>
      </c>
      <c r="C77" s="738"/>
      <c r="I77" s="1480"/>
      <c r="J77" s="1480"/>
      <c r="K77" s="1481"/>
      <c r="L77" s="1480"/>
    </row>
    <row r="78" spans="1:18">
      <c r="B78" s="650" t="s">
        <v>1201</v>
      </c>
      <c r="C78" s="739"/>
    </row>
    <row r="79" spans="1:18">
      <c r="B79" s="2912" t="s">
        <v>3106</v>
      </c>
      <c r="C79" s="654" t="e">
        <f ca="1">1-C80</f>
        <v>#N/A</v>
      </c>
    </row>
    <row r="80" spans="1:18">
      <c r="B80" s="2912" t="s">
        <v>3107</v>
      </c>
      <c r="C80" s="654" t="e">
        <f ca="1">ROUND(C75/C39,3)</f>
        <v>#N/A</v>
      </c>
    </row>
    <row r="81" spans="2:3">
      <c r="B81" s="650" t="s">
        <v>552</v>
      </c>
      <c r="C81" s="651"/>
    </row>
    <row r="82" spans="2:3">
      <c r="B82" s="2911" t="s">
        <v>3104</v>
      </c>
      <c r="C82" s="655" t="e">
        <f ca="1">1-C83</f>
        <v>#N/A</v>
      </c>
    </row>
    <row r="83" spans="2:3">
      <c r="B83" s="2911" t="s">
        <v>3103</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10" t="s">
        <v>2948</v>
      </c>
      <c r="B1" s="3711"/>
      <c r="C1" s="3712"/>
      <c r="D1" s="3713">
        <f>SUM(I10,I15,I20,I21,I23)</f>
        <v>0</v>
      </c>
      <c r="E1" s="3713"/>
      <c r="F1" s="3713"/>
      <c r="G1" s="3713"/>
      <c r="H1" s="3713"/>
      <c r="I1" s="3714"/>
    </row>
    <row r="2" spans="1:9">
      <c r="A2" s="3715" t="s">
        <v>2949</v>
      </c>
      <c r="B2" s="3716" t="s">
        <v>2950</v>
      </c>
      <c r="C2" s="3716"/>
      <c r="D2" s="2673" t="s">
        <v>2951</v>
      </c>
      <c r="E2" s="2673" t="s">
        <v>2952</v>
      </c>
      <c r="F2" s="2673" t="s">
        <v>2953</v>
      </c>
      <c r="G2" s="2673" t="s">
        <v>2954</v>
      </c>
      <c r="H2" s="2673" t="s">
        <v>2955</v>
      </c>
      <c r="I2" s="2674" t="s">
        <v>2956</v>
      </c>
    </row>
    <row r="3" spans="1:9">
      <c r="A3" s="3715"/>
      <c r="B3" s="3716" t="s">
        <v>2957</v>
      </c>
      <c r="C3" s="3716"/>
      <c r="D3" s="2675"/>
      <c r="E3" s="2673"/>
      <c r="F3" s="2676"/>
      <c r="G3" s="2676"/>
      <c r="H3" s="2677"/>
      <c r="I3" s="2678">
        <f>ROUND(D3*E3*F3*G3*H3/10000,0)</f>
        <v>0</v>
      </c>
    </row>
    <row r="4" spans="1:9">
      <c r="A4" s="3715"/>
      <c r="B4" s="3716" t="s">
        <v>2958</v>
      </c>
      <c r="C4" s="3716"/>
      <c r="D4" s="2675"/>
      <c r="E4" s="2673"/>
      <c r="F4" s="2676"/>
      <c r="G4" s="2676"/>
      <c r="H4" s="2677"/>
      <c r="I4" s="2678">
        <f t="shared" ref="I4:I9" si="0">ROUND(D4*E4*F4*G4*H4/10000,0)</f>
        <v>0</v>
      </c>
    </row>
    <row r="5" spans="1:9">
      <c r="A5" s="3715"/>
      <c r="B5" s="3716" t="s">
        <v>2959</v>
      </c>
      <c r="C5" s="3716"/>
      <c r="D5" s="2675"/>
      <c r="E5" s="2673"/>
      <c r="F5" s="2676"/>
      <c r="G5" s="2676"/>
      <c r="H5" s="2677"/>
      <c r="I5" s="2678">
        <f t="shared" si="0"/>
        <v>0</v>
      </c>
    </row>
    <row r="6" spans="1:9">
      <c r="A6" s="3715"/>
      <c r="B6" s="3716" t="s">
        <v>2960</v>
      </c>
      <c r="C6" s="3716"/>
      <c r="D6" s="2675"/>
      <c r="E6" s="2673"/>
      <c r="F6" s="2676"/>
      <c r="G6" s="2676"/>
      <c r="H6" s="2677"/>
      <c r="I6" s="2678">
        <f t="shared" si="0"/>
        <v>0</v>
      </c>
    </row>
    <row r="7" spans="1:9">
      <c r="A7" s="3715"/>
      <c r="B7" s="3716" t="s">
        <v>2961</v>
      </c>
      <c r="C7" s="3716"/>
      <c r="D7" s="2675"/>
      <c r="E7" s="2673"/>
      <c r="F7" s="2676"/>
      <c r="G7" s="2676"/>
      <c r="H7" s="2677"/>
      <c r="I7" s="2678">
        <f t="shared" si="0"/>
        <v>0</v>
      </c>
    </row>
    <row r="8" spans="1:9">
      <c r="A8" s="3715"/>
      <c r="B8" s="3716" t="s">
        <v>2962</v>
      </c>
      <c r="C8" s="3716"/>
      <c r="D8" s="2675"/>
      <c r="E8" s="2673"/>
      <c r="F8" s="2676"/>
      <c r="G8" s="2676"/>
      <c r="H8" s="2677"/>
      <c r="I8" s="2678">
        <f t="shared" si="0"/>
        <v>0</v>
      </c>
    </row>
    <row r="9" spans="1:9">
      <c r="A9" s="3715"/>
      <c r="B9" s="3716" t="s">
        <v>2963</v>
      </c>
      <c r="C9" s="3716"/>
      <c r="D9" s="2675"/>
      <c r="E9" s="2673"/>
      <c r="F9" s="2676"/>
      <c r="G9" s="2676"/>
      <c r="H9" s="2677"/>
      <c r="I9" s="2678">
        <f t="shared" si="0"/>
        <v>0</v>
      </c>
    </row>
    <row r="10" spans="1:9">
      <c r="A10" s="3715"/>
      <c r="B10" s="3717" t="s">
        <v>2964</v>
      </c>
      <c r="C10" s="3717"/>
      <c r="D10" s="2679">
        <v>527</v>
      </c>
      <c r="E10" s="2679" t="e">
        <f>ROUND(D1*10000/D10/H9,0)</f>
        <v>#DIV/0!</v>
      </c>
      <c r="F10" s="2680"/>
      <c r="G10" s="2680"/>
      <c r="H10" s="2681"/>
      <c r="I10" s="2682">
        <f>SUM(I3:I9)</f>
        <v>0</v>
      </c>
    </row>
    <row r="11" spans="1:9" ht="14.25">
      <c r="A11" s="3715" t="s">
        <v>2965</v>
      </c>
      <c r="B11" s="3716" t="s">
        <v>2966</v>
      </c>
      <c r="C11" s="3716"/>
      <c r="D11" s="2675" t="s">
        <v>2967</v>
      </c>
      <c r="E11" s="2675" t="s">
        <v>2968</v>
      </c>
      <c r="F11" s="2676" t="s">
        <v>2969</v>
      </c>
      <c r="G11" s="2676" t="s">
        <v>2955</v>
      </c>
      <c r="H11" s="2683" t="s">
        <v>2970</v>
      </c>
      <c r="I11" s="2674" t="s">
        <v>2956</v>
      </c>
    </row>
    <row r="12" spans="1:9">
      <c r="A12" s="3715"/>
      <c r="B12" s="3716" t="s">
        <v>2971</v>
      </c>
      <c r="C12" s="3716"/>
      <c r="D12" s="2675"/>
      <c r="E12" s="2675"/>
      <c r="F12" s="2676"/>
      <c r="G12" s="2677"/>
      <c r="H12" s="2684"/>
      <c r="I12" s="2674">
        <f>ROUND(D12*E12*F12*G12/10000,0)</f>
        <v>0</v>
      </c>
    </row>
    <row r="13" spans="1:9">
      <c r="A13" s="3715"/>
      <c r="B13" s="3716" t="s">
        <v>2972</v>
      </c>
      <c r="C13" s="3716"/>
      <c r="D13" s="2675"/>
      <c r="E13" s="2675"/>
      <c r="F13" s="2676"/>
      <c r="G13" s="2677"/>
      <c r="H13" s="2684"/>
      <c r="I13" s="2674">
        <f>ROUND(D13*E13*F13*G13/10000,0)</f>
        <v>0</v>
      </c>
    </row>
    <row r="14" spans="1:9">
      <c r="A14" s="3715"/>
      <c r="B14" s="3716" t="s">
        <v>2973</v>
      </c>
      <c r="C14" s="3716"/>
      <c r="D14" s="2675"/>
      <c r="E14" s="2675"/>
      <c r="F14" s="2676"/>
      <c r="G14" s="2677"/>
      <c r="H14" s="2684"/>
      <c r="I14" s="2674">
        <f>ROUND(D14*E14*F14*G14/10000,0)</f>
        <v>0</v>
      </c>
    </row>
    <row r="15" spans="1:9">
      <c r="A15" s="3715"/>
      <c r="B15" s="3717" t="s">
        <v>2964</v>
      </c>
      <c r="C15" s="3717"/>
      <c r="D15" s="2679"/>
      <c r="E15" s="2679">
        <f>SUM(E12:E14)</f>
        <v>0</v>
      </c>
      <c r="F15" s="2680"/>
      <c r="G15" s="2677"/>
      <c r="H15" s="2684"/>
      <c r="I15" s="2685">
        <f>SUM(I12:I14)</f>
        <v>0</v>
      </c>
    </row>
    <row r="16" spans="1:9" ht="24">
      <c r="A16" s="3715" t="s">
        <v>2974</v>
      </c>
      <c r="B16" s="3716" t="s">
        <v>2975</v>
      </c>
      <c r="C16" s="3716"/>
      <c r="D16" s="2675" t="s">
        <v>2951</v>
      </c>
      <c r="E16" s="2686" t="s">
        <v>2976</v>
      </c>
      <c r="F16" s="2676" t="s">
        <v>2977</v>
      </c>
      <c r="G16" s="2677" t="s">
        <v>2955</v>
      </c>
      <c r="H16" s="2683" t="s">
        <v>2970</v>
      </c>
      <c r="I16" s="2674" t="s">
        <v>2956</v>
      </c>
    </row>
    <row r="17" spans="1:9" ht="14.25">
      <c r="A17" s="3715"/>
      <c r="B17" s="3716" t="s">
        <v>2978</v>
      </c>
      <c r="C17" s="3716"/>
      <c r="D17" s="2675"/>
      <c r="E17" s="2675"/>
      <c r="F17" s="2676"/>
      <c r="G17" s="2677"/>
      <c r="H17" s="2687"/>
      <c r="I17" s="2688">
        <f>ROUND(D17*E17*F17*G17/10000,0)</f>
        <v>0</v>
      </c>
    </row>
    <row r="18" spans="1:9" ht="14.25">
      <c r="A18" s="3715"/>
      <c r="B18" s="3716" t="s">
        <v>2979</v>
      </c>
      <c r="C18" s="3716"/>
      <c r="D18" s="2675"/>
      <c r="E18" s="2675"/>
      <c r="F18" s="2676"/>
      <c r="G18" s="2677"/>
      <c r="H18" s="2687"/>
      <c r="I18" s="2688">
        <f>ROUND(D18*E18*F18*G18/10000,0)</f>
        <v>0</v>
      </c>
    </row>
    <row r="19" spans="1:9" ht="14.25">
      <c r="A19" s="3715"/>
      <c r="B19" s="3716" t="s">
        <v>2980</v>
      </c>
      <c r="C19" s="3716"/>
      <c r="D19" s="2675"/>
      <c r="E19" s="2675"/>
      <c r="F19" s="2676"/>
      <c r="G19" s="2677"/>
      <c r="H19" s="2687"/>
      <c r="I19" s="2688">
        <f>ROUND(D19*E19*F19*G19/10000,0)</f>
        <v>0</v>
      </c>
    </row>
    <row r="20" spans="1:9">
      <c r="A20" s="3715"/>
      <c r="B20" s="3717" t="s">
        <v>2964</v>
      </c>
      <c r="C20" s="3717"/>
      <c r="D20" s="2679">
        <f>SUM(D17:D19)</f>
        <v>0</v>
      </c>
      <c r="E20" s="2679"/>
      <c r="F20" s="2680"/>
      <c r="G20" s="2677"/>
      <c r="H20" s="2684"/>
      <c r="I20" s="2685">
        <f>SUM(I17:I19)</f>
        <v>0</v>
      </c>
    </row>
    <row r="21" spans="1:9">
      <c r="A21" s="3715" t="s">
        <v>2981</v>
      </c>
      <c r="B21" s="3719"/>
      <c r="C21" s="3719"/>
      <c r="D21" s="3719"/>
      <c r="E21" s="3719"/>
      <c r="F21" s="3719"/>
      <c r="G21" s="3719"/>
      <c r="H21" s="2689">
        <v>0.1</v>
      </c>
      <c r="I21" s="2682">
        <f>ROUND(I10*H21,0)</f>
        <v>0</v>
      </c>
    </row>
    <row r="22" spans="1:9" ht="14.25">
      <c r="A22" s="3720" t="s">
        <v>2982</v>
      </c>
      <c r="B22" s="3721"/>
      <c r="C22" s="3722"/>
      <c r="D22" s="2690" t="s">
        <v>2983</v>
      </c>
      <c r="E22" s="2690" t="s">
        <v>2984</v>
      </c>
      <c r="F22" s="2691" t="s">
        <v>2985</v>
      </c>
      <c r="G22" s="2691" t="s">
        <v>2986</v>
      </c>
      <c r="H22" s="2683" t="s">
        <v>2987</v>
      </c>
      <c r="I22" s="2674" t="s">
        <v>2988</v>
      </c>
    </row>
    <row r="23" spans="1:9" ht="14.25" thickBot="1">
      <c r="A23" s="3723"/>
      <c r="B23" s="3724"/>
      <c r="C23" s="3725"/>
      <c r="D23" s="2692"/>
      <c r="E23" s="2692"/>
      <c r="F23" s="2692"/>
      <c r="G23" s="2693"/>
      <c r="H23" s="2694"/>
      <c r="I23" s="2695">
        <f>ROUND(E23*D23*F23*(1-G23)/10000,0)</f>
        <v>0</v>
      </c>
    </row>
    <row r="26" spans="1:9">
      <c r="A26" s="2696" t="s">
        <v>2989</v>
      </c>
      <c r="B26" s="2696"/>
      <c r="C26" s="2696"/>
      <c r="D26" s="2696"/>
      <c r="E26" s="3726">
        <f>C27-C30-C31-C32</f>
        <v>0</v>
      </c>
      <c r="F26" s="3726"/>
      <c r="G26" s="3726"/>
      <c r="H26" s="3293" t="s">
        <v>3369</v>
      </c>
    </row>
    <row r="27" spans="1:9">
      <c r="A27" s="2697">
        <v>1</v>
      </c>
      <c r="B27" s="2698" t="s">
        <v>2990</v>
      </c>
      <c r="C27" s="2698">
        <f>C28+C29</f>
        <v>0</v>
      </c>
      <c r="D27" s="2698"/>
      <c r="E27" s="3727"/>
      <c r="F27" s="3727"/>
      <c r="G27" s="3727"/>
    </row>
    <row r="28" spans="1:9">
      <c r="A28" s="2699" t="s">
        <v>2991</v>
      </c>
      <c r="B28" s="2698" t="s">
        <v>2992</v>
      </c>
      <c r="C28" s="2698"/>
      <c r="D28" s="2698"/>
      <c r="E28" s="3727"/>
      <c r="F28" s="3727"/>
      <c r="G28" s="3727"/>
    </row>
    <row r="29" spans="1:9">
      <c r="A29" s="2699" t="s">
        <v>2993</v>
      </c>
      <c r="B29" s="2698" t="s">
        <v>2994</v>
      </c>
      <c r="C29" s="2698"/>
      <c r="D29" s="2698"/>
      <c r="E29" s="2698" t="s">
        <v>2995</v>
      </c>
      <c r="F29" s="2698"/>
      <c r="G29" s="2698"/>
    </row>
    <row r="30" spans="1:9">
      <c r="A30" s="2697">
        <v>2</v>
      </c>
      <c r="B30" s="2698" t="s">
        <v>2996</v>
      </c>
      <c r="C30" s="2698">
        <f>C27*D30</f>
        <v>0</v>
      </c>
      <c r="D30" s="2700">
        <v>0.2</v>
      </c>
      <c r="E30" s="2698" t="s">
        <v>2997</v>
      </c>
      <c r="F30" s="2698"/>
      <c r="G30" s="2698"/>
    </row>
    <row r="31" spans="1:9">
      <c r="A31" s="2697">
        <v>3</v>
      </c>
      <c r="B31" s="2698" t="s">
        <v>2998</v>
      </c>
      <c r="C31" s="2698">
        <f>C25*D31</f>
        <v>0</v>
      </c>
      <c r="D31" s="2700">
        <v>0.15</v>
      </c>
      <c r="E31" s="2698" t="s">
        <v>2999</v>
      </c>
      <c r="F31" s="2698"/>
      <c r="G31" s="2698"/>
    </row>
    <row r="32" spans="1:9">
      <c r="A32" s="2697">
        <v>4</v>
      </c>
      <c r="B32" s="2698" t="s">
        <v>3000</v>
      </c>
      <c r="C32" s="2698">
        <f>C27*D32</f>
        <v>0</v>
      </c>
      <c r="D32" s="2700">
        <v>0.05</v>
      </c>
      <c r="E32" s="3718"/>
      <c r="F32" s="3718"/>
      <c r="G32" s="3718"/>
    </row>
    <row r="33" spans="1:7" hidden="1">
      <c r="A33" s="3728" t="s">
        <v>3001</v>
      </c>
      <c r="B33" s="3729"/>
      <c r="C33" s="3729"/>
      <c r="D33" s="3730"/>
      <c r="E33" s="3726"/>
      <c r="F33" s="3726"/>
      <c r="G33" s="3726"/>
    </row>
    <row r="34" spans="1:7" hidden="1">
      <c r="A34" s="2701">
        <v>1</v>
      </c>
      <c r="B34" s="2698" t="s">
        <v>3002</v>
      </c>
      <c r="C34" s="2698"/>
      <c r="D34" s="2698"/>
      <c r="E34" s="3727"/>
      <c r="F34" s="3727"/>
      <c r="G34" s="3727"/>
    </row>
    <row r="35" spans="1:7" hidden="1">
      <c r="A35" s="2701">
        <v>2</v>
      </c>
      <c r="B35" s="2698" t="s">
        <v>3003</v>
      </c>
      <c r="C35" s="2698"/>
      <c r="D35" s="2698"/>
      <c r="E35" s="3727"/>
      <c r="F35" s="3727"/>
      <c r="G35" s="3727"/>
    </row>
    <row r="36" spans="1:7" hidden="1">
      <c r="A36" s="2701">
        <v>3</v>
      </c>
      <c r="B36" s="2698" t="s">
        <v>3004</v>
      </c>
      <c r="C36" s="2698"/>
      <c r="D36" s="2698"/>
      <c r="E36" s="3727"/>
      <c r="F36" s="3727"/>
      <c r="G36" s="3727"/>
    </row>
    <row r="37" spans="1:7" hidden="1">
      <c r="A37" s="2701">
        <v>4</v>
      </c>
      <c r="B37" s="2698" t="s">
        <v>3005</v>
      </c>
      <c r="C37" s="2698"/>
      <c r="D37" s="2698"/>
      <c r="E37" s="3727"/>
      <c r="F37" s="3727"/>
      <c r="G37" s="3727"/>
    </row>
    <row r="38" spans="1:7" hidden="1">
      <c r="A38" s="3728" t="s">
        <v>3006</v>
      </c>
      <c r="B38" s="3729"/>
      <c r="C38" s="3729"/>
      <c r="D38" s="3730"/>
      <c r="E38" s="3726"/>
      <c r="F38" s="3726"/>
      <c r="G38" s="37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191</v>
      </c>
      <c r="D1" s="3145" t="s">
        <v>368</v>
      </c>
      <c r="E1" s="3148"/>
      <c r="F1" s="3147" t="s">
        <v>3098</v>
      </c>
      <c r="G1" s="3149" t="s">
        <v>192</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337</v>
      </c>
      <c r="B2" s="2883" t="e">
        <f ca="1">IF(C2="——",ROUND(B3*D3/10000,0),ROUND(B3*D3/10000,0)-D2)</f>
        <v>#DIV/0!</v>
      </c>
      <c r="C2" s="3139" t="s">
        <v>3100</v>
      </c>
      <c r="D2" s="2760" t="e">
        <f ca="1">SUMIF(INDIRECT("'"&amp;F2&amp;"'"&amp;"!A:A"),"承租人权益价值",INDIRECT("'"&amp;F2&amp;"'"&amp;"!c:c"))</f>
        <v>#N/A</v>
      </c>
      <c r="E2" s="3140" t="s">
        <v>1105</v>
      </c>
      <c r="F2" s="3141" t="s">
        <v>3072</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338</v>
      </c>
      <c r="B3" s="956" t="e">
        <f>C49</f>
        <v>#DIV/0!</v>
      </c>
      <c r="C3" s="142" t="s">
        <v>332</v>
      </c>
      <c r="D3" s="746">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680" t="s">
        <v>59</v>
      </c>
      <c r="D4" s="3681"/>
      <c r="E4" s="3682" t="s">
        <v>60</v>
      </c>
      <c r="F4" s="3683"/>
      <c r="G4" s="3680" t="s">
        <v>61</v>
      </c>
      <c r="H4" s="3681"/>
      <c r="I4" s="3680" t="s">
        <v>62</v>
      </c>
      <c r="J4" s="3681"/>
      <c r="K4" s="187" t="s">
        <v>63</v>
      </c>
      <c r="L4" s="2322"/>
      <c r="M4" s="2323"/>
      <c r="N4" s="2323"/>
      <c r="O4" s="2323"/>
      <c r="P4" s="3684" t="s">
        <v>58</v>
      </c>
      <c r="Q4" s="3685"/>
      <c r="R4" s="3673" t="s">
        <v>60</v>
      </c>
      <c r="S4" s="3674"/>
      <c r="T4" s="3673" t="s">
        <v>61</v>
      </c>
      <c r="U4" s="3674"/>
      <c r="V4" s="3692" t="s">
        <v>62</v>
      </c>
      <c r="W4" s="3692"/>
      <c r="X4" s="1344"/>
      <c r="Y4" s="3673" t="s">
        <v>58</v>
      </c>
      <c r="Z4" s="3674"/>
      <c r="AA4" s="3668" t="s">
        <v>60</v>
      </c>
      <c r="AB4" s="3692" t="s">
        <v>61</v>
      </c>
      <c r="AC4" s="3668" t="s">
        <v>62</v>
      </c>
    </row>
    <row r="5" spans="1:29">
      <c r="A5" s="146"/>
      <c r="B5" s="147"/>
      <c r="C5" s="3631" t="s">
        <v>64</v>
      </c>
      <c r="D5" s="3632"/>
      <c r="E5" s="3629" t="s">
        <v>65</v>
      </c>
      <c r="F5" s="3630"/>
      <c r="G5" s="3631" t="s">
        <v>66</v>
      </c>
      <c r="H5" s="3632"/>
      <c r="I5" s="3631" t="s">
        <v>67</v>
      </c>
      <c r="J5" s="3632"/>
      <c r="K5" s="187"/>
      <c r="L5" s="2322"/>
      <c r="M5" s="2323"/>
      <c r="N5" s="2323"/>
      <c r="O5" s="2323"/>
      <c r="P5" s="3686"/>
      <c r="Q5" s="3687"/>
      <c r="R5" s="3675"/>
      <c r="S5" s="3676"/>
      <c r="T5" s="3675"/>
      <c r="U5" s="3676"/>
      <c r="V5" s="3692"/>
      <c r="W5" s="3692"/>
      <c r="X5" s="1344"/>
      <c r="Y5" s="3675"/>
      <c r="Z5" s="3676"/>
      <c r="AA5" s="3669"/>
      <c r="AB5" s="3692"/>
      <c r="AC5" s="3669"/>
    </row>
    <row r="6" spans="1:29" ht="14.25" thickBot="1">
      <c r="A6" s="148"/>
      <c r="B6" s="149"/>
      <c r="C6" s="3633" t="s">
        <v>68</v>
      </c>
      <c r="D6" s="3634"/>
      <c r="E6" s="3677" t="s">
        <v>68</v>
      </c>
      <c r="F6" s="3678"/>
      <c r="G6" s="3633" t="s">
        <v>68</v>
      </c>
      <c r="H6" s="3634"/>
      <c r="I6" s="3633" t="s">
        <v>68</v>
      </c>
      <c r="J6" s="3634"/>
      <c r="K6" s="187" t="s">
        <v>169</v>
      </c>
      <c r="L6" s="2322"/>
      <c r="M6" s="2323"/>
      <c r="N6" s="2323"/>
      <c r="O6" s="2323"/>
      <c r="P6" s="3688"/>
      <c r="Q6" s="3689"/>
      <c r="R6" s="3675"/>
      <c r="S6" s="3676"/>
      <c r="T6" s="3690"/>
      <c r="U6" s="3691"/>
      <c r="V6" s="3692"/>
      <c r="W6" s="3692"/>
      <c r="X6" s="1344"/>
      <c r="Y6" s="3690"/>
      <c r="Z6" s="3691"/>
      <c r="AA6" s="3670"/>
      <c r="AB6" s="3692"/>
      <c r="AC6" s="3670"/>
    </row>
    <row r="7" spans="1:29" s="40" customFormat="1" ht="15" thickBot="1">
      <c r="A7" s="1018" t="s">
        <v>69</v>
      </c>
      <c r="B7" s="1019"/>
      <c r="C7" s="1020">
        <f>'数据-取费表'!B2</f>
        <v>42959</v>
      </c>
      <c r="D7" s="758">
        <v>100</v>
      </c>
      <c r="E7" s="1021">
        <v>42007</v>
      </c>
      <c r="F7" s="760">
        <f>SUMIF(58:58,YEAR(E7)&amp;"-"&amp;MONTH(E7),59:59)</f>
        <v>0</v>
      </c>
      <c r="G7" s="1022">
        <v>41918</v>
      </c>
      <c r="H7" s="758">
        <f>SUMIF(58:58,YEAR(G7)&amp;"-"&amp;MONTH(G7),59:59)</f>
        <v>0</v>
      </c>
      <c r="I7" s="1022">
        <v>42003</v>
      </c>
      <c r="J7" s="758">
        <f>SUMIF(58:58,YEAR(I7)&amp;"-"&amp;MONTH(I7),59:59)</f>
        <v>0</v>
      </c>
      <c r="K7" s="1023"/>
      <c r="L7" s="2324"/>
      <c r="M7" s="2286"/>
      <c r="N7" s="2286"/>
      <c r="O7" s="2286"/>
      <c r="P7" s="3671" t="s">
        <v>69</v>
      </c>
      <c r="Q7" s="3693"/>
      <c r="R7" s="1346" t="s">
        <v>70</v>
      </c>
      <c r="S7" s="1347">
        <f t="shared" ref="S7:S15" si="0">F7</f>
        <v>0</v>
      </c>
      <c r="T7" s="1346" t="s">
        <v>70</v>
      </c>
      <c r="U7" s="1347">
        <f t="shared" ref="U7:U15" si="1">H7</f>
        <v>0</v>
      </c>
      <c r="V7" s="1346" t="s">
        <v>70</v>
      </c>
      <c r="W7" s="1347">
        <f t="shared" ref="W7:W15" si="2">J7</f>
        <v>0</v>
      </c>
      <c r="X7" s="293"/>
      <c r="Y7" s="3671" t="s">
        <v>69</v>
      </c>
      <c r="Z7" s="3672"/>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1257</v>
      </c>
      <c r="H8" s="758">
        <f>SUMIF(61:61,G8,62:62)-SUMIF(61:61,C8,62:62)+100</f>
        <v>100</v>
      </c>
      <c r="I8" s="1024" t="s">
        <v>1257</v>
      </c>
      <c r="J8" s="758">
        <f>SUMIF(61:61,I8,62:62)-SUMIF(61:61,C8,62:62)+100</f>
        <v>100</v>
      </c>
      <c r="K8" s="1023"/>
      <c r="L8" s="2324"/>
      <c r="M8" s="2286"/>
      <c r="N8" s="2286"/>
      <c r="O8" s="2286"/>
      <c r="P8" s="3671" t="s">
        <v>1258</v>
      </c>
      <c r="Q8" s="3672"/>
      <c r="R8" s="1346" t="s">
        <v>70</v>
      </c>
      <c r="S8" s="1347">
        <f t="shared" si="0"/>
        <v>102</v>
      </c>
      <c r="T8" s="1346" t="s">
        <v>70</v>
      </c>
      <c r="U8" s="1347">
        <f t="shared" si="1"/>
        <v>100</v>
      </c>
      <c r="V8" s="1346" t="s">
        <v>70</v>
      </c>
      <c r="W8" s="1347">
        <f t="shared" si="2"/>
        <v>100</v>
      </c>
      <c r="X8" s="293"/>
      <c r="Y8" s="3671" t="s">
        <v>1258</v>
      </c>
      <c r="Z8" s="3672"/>
      <c r="AA8" s="1348">
        <f t="shared" ref="AA8:AA46" si="3">D8/F8</f>
        <v>0.98039215686274506</v>
      </c>
      <c r="AB8" s="1348">
        <f t="shared" ref="AB8:AB46" si="4">D8/H8</f>
        <v>1</v>
      </c>
      <c r="AC8" s="1348">
        <f t="shared" ref="AC8:AC46" si="5">D8/J8</f>
        <v>1</v>
      </c>
    </row>
    <row r="9" spans="1:29" s="40" customFormat="1" ht="14.25">
      <c r="A9" s="1025" t="s">
        <v>1259</v>
      </c>
      <c r="B9" s="62" t="s">
        <v>1260</v>
      </c>
      <c r="C9" s="1350" t="s">
        <v>1261</v>
      </c>
      <c r="D9" s="429">
        <v>100</v>
      </c>
      <c r="E9" s="1351" t="s">
        <v>43</v>
      </c>
      <c r="F9" s="766">
        <f>SUMIF(63:63,E9,64:64)-SUMIF(63:63,C9,64:64)+100</f>
        <v>100</v>
      </c>
      <c r="G9" s="1351" t="s">
        <v>279</v>
      </c>
      <c r="H9" s="429">
        <f>SUMIF(63:63,G9,64:64)-SUMIF(63:63,C9,64:64)+100</f>
        <v>95</v>
      </c>
      <c r="I9" s="1351" t="s">
        <v>43</v>
      </c>
      <c r="J9" s="429">
        <f>SUMIF(63:63,I9,64:64)-SUMIF(63:63,C9,64:64)+100</f>
        <v>100</v>
      </c>
      <c r="K9" s="1023"/>
      <c r="L9" s="2324"/>
      <c r="M9" s="2286"/>
      <c r="N9" s="2286"/>
      <c r="O9" s="2286"/>
      <c r="P9" s="3679" t="s">
        <v>72</v>
      </c>
      <c r="Q9" s="7" t="str">
        <f t="shared" ref="Q9:Q15" si="6">B9</f>
        <v>用途</v>
      </c>
      <c r="R9" s="1346" t="s">
        <v>70</v>
      </c>
      <c r="S9" s="1347">
        <f t="shared" si="0"/>
        <v>100</v>
      </c>
      <c r="T9" s="1346" t="s">
        <v>70</v>
      </c>
      <c r="U9" s="1347">
        <f t="shared" si="1"/>
        <v>95</v>
      </c>
      <c r="V9" s="1346" t="s">
        <v>70</v>
      </c>
      <c r="W9" s="1347">
        <f t="shared" si="2"/>
        <v>100</v>
      </c>
      <c r="X9" s="293"/>
      <c r="Y9" s="3491" t="s">
        <v>72</v>
      </c>
      <c r="Z9" s="294" t="str">
        <f t="shared" ref="Z9:Z15" si="7">Q9</f>
        <v>用途</v>
      </c>
      <c r="AA9" s="1348">
        <f t="shared" si="3"/>
        <v>1</v>
      </c>
      <c r="AB9" s="1348">
        <f t="shared" si="4"/>
        <v>1.0526315789473684</v>
      </c>
      <c r="AC9" s="1348">
        <f t="shared" si="5"/>
        <v>1</v>
      </c>
    </row>
    <row r="10" spans="1:29" s="92" customFormat="1" ht="27">
      <c r="A10" s="150"/>
      <c r="B10" s="12" t="s">
        <v>125</v>
      </c>
      <c r="C10" s="1353" t="s">
        <v>286</v>
      </c>
      <c r="D10" s="430">
        <v>100</v>
      </c>
      <c r="E10" s="1354" t="s">
        <v>287</v>
      </c>
      <c r="F10" s="773">
        <f>SUMIF(65:65,E10,66:66)-SUMIF(65:65,C10,66:66)+100</f>
        <v>99</v>
      </c>
      <c r="G10" s="1353" t="s">
        <v>2796</v>
      </c>
      <c r="H10" s="430">
        <f>SUMIF(65:65,G10,66:66)-SUMIF(65:65,C10,66:66)+100</f>
        <v>98</v>
      </c>
      <c r="I10" s="1353" t="s">
        <v>289</v>
      </c>
      <c r="J10" s="430">
        <f>SUMIF(65:65,I10,66:66)-SUMIF(65:65,C10,66:66)+100</f>
        <v>97</v>
      </c>
      <c r="K10" s="959">
        <v>1</v>
      </c>
      <c r="L10" s="2325"/>
      <c r="M10" s="2326"/>
      <c r="N10" s="2326"/>
      <c r="O10" s="2326"/>
      <c r="P10" s="3679"/>
      <c r="Q10" s="7" t="str">
        <f t="shared" si="6"/>
        <v>土地使用年限（年）</v>
      </c>
      <c r="R10" s="1346" t="s">
        <v>70</v>
      </c>
      <c r="S10" s="1347">
        <f t="shared" si="0"/>
        <v>99</v>
      </c>
      <c r="T10" s="1346" t="s">
        <v>70</v>
      </c>
      <c r="U10" s="1347">
        <f t="shared" si="1"/>
        <v>98</v>
      </c>
      <c r="V10" s="1346" t="s">
        <v>70</v>
      </c>
      <c r="W10" s="1347">
        <f t="shared" si="2"/>
        <v>97</v>
      </c>
      <c r="X10" s="293"/>
      <c r="Y10" s="3491"/>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7"/>
      <c r="M11" s="2323"/>
      <c r="N11" s="2323"/>
      <c r="O11" s="2323"/>
      <c r="P11" s="3679"/>
      <c r="Q11" s="7" t="str">
        <f t="shared" si="6"/>
        <v>容积率</v>
      </c>
      <c r="R11" s="1346" t="s">
        <v>70</v>
      </c>
      <c r="S11" s="1347">
        <f t="shared" si="0"/>
        <v>98</v>
      </c>
      <c r="T11" s="1346" t="s">
        <v>70</v>
      </c>
      <c r="U11" s="1347">
        <f t="shared" si="1"/>
        <v>96</v>
      </c>
      <c r="V11" s="1346" t="s">
        <v>70</v>
      </c>
      <c r="W11" s="1347">
        <f t="shared" si="2"/>
        <v>94</v>
      </c>
      <c r="X11" s="293"/>
      <c r="Y11" s="3491"/>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4"/>
      <c r="M12" s="2286"/>
      <c r="N12" s="2286"/>
      <c r="O12" s="2286"/>
      <c r="P12" s="3679"/>
      <c r="Q12" s="7">
        <f t="shared" si="6"/>
        <v>111</v>
      </c>
      <c r="R12" s="1346" t="s">
        <v>70</v>
      </c>
      <c r="S12" s="1347">
        <f t="shared" si="0"/>
        <v>100</v>
      </c>
      <c r="T12" s="1346" t="s">
        <v>70</v>
      </c>
      <c r="U12" s="1347">
        <f t="shared" si="1"/>
        <v>100</v>
      </c>
      <c r="V12" s="1346" t="s">
        <v>70</v>
      </c>
      <c r="W12" s="1347">
        <f t="shared" si="2"/>
        <v>100</v>
      </c>
      <c r="X12" s="293"/>
      <c r="Y12" s="3491"/>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8"/>
      <c r="M13" s="2323"/>
      <c r="N13" s="2323"/>
      <c r="O13" s="2323"/>
      <c r="P13" s="3679"/>
      <c r="Q13" s="7">
        <f t="shared" si="6"/>
        <v>111</v>
      </c>
      <c r="R13" s="1346" t="s">
        <v>70</v>
      </c>
      <c r="S13" s="1347">
        <f t="shared" si="0"/>
        <v>100</v>
      </c>
      <c r="T13" s="1346" t="s">
        <v>70</v>
      </c>
      <c r="U13" s="1347">
        <f t="shared" si="1"/>
        <v>100</v>
      </c>
      <c r="V13" s="1346" t="s">
        <v>70</v>
      </c>
      <c r="W13" s="1347">
        <f t="shared" si="2"/>
        <v>100</v>
      </c>
      <c r="X13" s="293"/>
      <c r="Y13" s="3491"/>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8"/>
      <c r="M14" s="2323"/>
      <c r="N14" s="2323"/>
      <c r="O14" s="2323"/>
      <c r="P14" s="3679"/>
      <c r="Q14" s="7">
        <f t="shared" si="6"/>
        <v>111</v>
      </c>
      <c r="R14" s="1346" t="s">
        <v>70</v>
      </c>
      <c r="S14" s="1347">
        <f t="shared" si="0"/>
        <v>100</v>
      </c>
      <c r="T14" s="1346" t="s">
        <v>70</v>
      </c>
      <c r="U14" s="1347">
        <f t="shared" si="1"/>
        <v>100</v>
      </c>
      <c r="V14" s="1346" t="s">
        <v>70</v>
      </c>
      <c r="W14" s="1347">
        <f t="shared" si="2"/>
        <v>100</v>
      </c>
      <c r="X14" s="293"/>
      <c r="Y14" s="3491"/>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8"/>
      <c r="M15" s="2323"/>
      <c r="N15" s="2323"/>
      <c r="O15" s="2323"/>
      <c r="P15" s="3706" t="s">
        <v>74</v>
      </c>
      <c r="Q15" s="1355" t="str">
        <f t="shared" si="6"/>
        <v>商业繁华度</v>
      </c>
      <c r="R15" s="1356" t="s">
        <v>70</v>
      </c>
      <c r="S15" s="1357">
        <f t="shared" si="0"/>
        <v>100</v>
      </c>
      <c r="T15" s="1356" t="s">
        <v>70</v>
      </c>
      <c r="U15" s="1357">
        <f t="shared" si="1"/>
        <v>100</v>
      </c>
      <c r="V15" s="1356" t="s">
        <v>70</v>
      </c>
      <c r="W15" s="1357">
        <f t="shared" si="2"/>
        <v>100</v>
      </c>
      <c r="X15" s="1344"/>
      <c r="Y15" s="3699"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8"/>
      <c r="M16" s="2323"/>
      <c r="N16" s="2323"/>
      <c r="O16" s="2323"/>
      <c r="P16" s="3707"/>
      <c r="Q16" s="1355"/>
      <c r="R16" s="1356"/>
      <c r="S16" s="1357"/>
      <c r="T16" s="1356"/>
      <c r="U16" s="1357"/>
      <c r="V16" s="1356"/>
      <c r="W16" s="1357"/>
      <c r="X16" s="1344"/>
      <c r="Y16" s="3700"/>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8"/>
      <c r="M17" s="2323"/>
      <c r="N17" s="2323"/>
      <c r="O17" s="2323"/>
      <c r="P17" s="3707"/>
      <c r="Q17" s="1355" t="str">
        <f>B17</f>
        <v>交通便捷度</v>
      </c>
      <c r="R17" s="1356" t="s">
        <v>70</v>
      </c>
      <c r="S17" s="1357">
        <f>F17</f>
        <v>97</v>
      </c>
      <c r="T17" s="1356" t="s">
        <v>70</v>
      </c>
      <c r="U17" s="1357">
        <f>H17</f>
        <v>94</v>
      </c>
      <c r="V17" s="1356" t="s">
        <v>70</v>
      </c>
      <c r="W17" s="1357">
        <f>J17</f>
        <v>106</v>
      </c>
      <c r="X17" s="1344"/>
      <c r="Y17" s="3700"/>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8"/>
      <c r="M18" s="2323"/>
      <c r="N18" s="2323"/>
      <c r="O18" s="2323"/>
      <c r="P18" s="3707"/>
      <c r="Q18" s="1355"/>
      <c r="R18" s="1356"/>
      <c r="S18" s="1357"/>
      <c r="T18" s="1356"/>
      <c r="U18" s="1357"/>
      <c r="V18" s="1356"/>
      <c r="W18" s="1357"/>
      <c r="X18" s="1344"/>
      <c r="Y18" s="3700"/>
      <c r="Z18" s="1358"/>
      <c r="AA18" s="1359">
        <v>1</v>
      </c>
      <c r="AB18" s="1359">
        <v>1</v>
      </c>
      <c r="AC18" s="1359">
        <v>1</v>
      </c>
    </row>
    <row r="19" spans="1:29" ht="40.5">
      <c r="A19" s="151"/>
      <c r="B19" s="1360" t="s">
        <v>3053</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8"/>
      <c r="M19" s="2323"/>
      <c r="N19" s="2323"/>
      <c r="O19" s="2323"/>
      <c r="P19" s="3707"/>
      <c r="Q19" s="1355" t="str">
        <f>B19</f>
        <v>公共配套设施</v>
      </c>
      <c r="R19" s="1356" t="s">
        <v>70</v>
      </c>
      <c r="S19" s="1357">
        <f>F19</f>
        <v>98</v>
      </c>
      <c r="T19" s="1356" t="s">
        <v>70</v>
      </c>
      <c r="U19" s="1357">
        <f>H19</f>
        <v>96</v>
      </c>
      <c r="V19" s="1356" t="s">
        <v>70</v>
      </c>
      <c r="W19" s="1357">
        <f>J19</f>
        <v>100</v>
      </c>
      <c r="X19" s="1344"/>
      <c r="Y19" s="3700"/>
      <c r="Z19" s="1358" t="str">
        <f>Q19</f>
        <v>公共配套设施</v>
      </c>
      <c r="AA19" s="1359">
        <f t="shared" si="3"/>
        <v>1.0204081632653061</v>
      </c>
      <c r="AB19" s="1359">
        <f t="shared" si="4"/>
        <v>1.0416666666666667</v>
      </c>
      <c r="AC19" s="1359">
        <f t="shared" si="5"/>
        <v>1</v>
      </c>
    </row>
    <row r="20" spans="1:29" ht="14.25">
      <c r="A20" s="151"/>
      <c r="B20" s="1045"/>
      <c r="C20" s="97" t="s">
        <v>2795</v>
      </c>
      <c r="D20" s="796"/>
      <c r="E20" s="98" t="s">
        <v>124</v>
      </c>
      <c r="F20" s="797"/>
      <c r="G20" s="99" t="s">
        <v>153</v>
      </c>
      <c r="H20" s="796"/>
      <c r="I20" s="98" t="s">
        <v>123</v>
      </c>
      <c r="J20" s="796"/>
      <c r="K20" s="189"/>
      <c r="L20" s="2328"/>
      <c r="M20" s="2323"/>
      <c r="N20" s="2323"/>
      <c r="O20" s="2323"/>
      <c r="P20" s="3707"/>
      <c r="Q20" s="1355"/>
      <c r="R20" s="1356"/>
      <c r="S20" s="1357"/>
      <c r="T20" s="1356"/>
      <c r="U20" s="1357"/>
      <c r="V20" s="1356"/>
      <c r="W20" s="1357"/>
      <c r="X20" s="1344"/>
      <c r="Y20" s="3700"/>
      <c r="Z20" s="1358"/>
      <c r="AA20" s="1359">
        <v>1</v>
      </c>
      <c r="AB20" s="1359">
        <v>1</v>
      </c>
      <c r="AC20" s="1359">
        <v>1</v>
      </c>
    </row>
    <row r="21" spans="1:29" ht="27">
      <c r="A21" s="151"/>
      <c r="B21" s="1416" t="s">
        <v>3054</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8"/>
      <c r="M21" s="2323"/>
      <c r="N21" s="2323"/>
      <c r="O21" s="2323"/>
      <c r="P21" s="3707"/>
      <c r="Q21" s="2782" t="str">
        <f>B21</f>
        <v>基础设施水平</v>
      </c>
      <c r="R21" s="1356" t="s">
        <v>70</v>
      </c>
      <c r="S21" s="1357">
        <f>F21</f>
        <v>99</v>
      </c>
      <c r="T21" s="1356" t="s">
        <v>70</v>
      </c>
      <c r="U21" s="1357">
        <f>H21</f>
        <v>98</v>
      </c>
      <c r="V21" s="1356" t="s">
        <v>70</v>
      </c>
      <c r="W21" s="1357">
        <f>J21</f>
        <v>97</v>
      </c>
      <c r="X21" s="2784"/>
      <c r="Y21" s="3700"/>
      <c r="Z21" s="2783"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2"/>
      <c r="L22" s="2328"/>
      <c r="M22" s="2323"/>
      <c r="N22" s="2323"/>
      <c r="O22" s="2323"/>
      <c r="P22" s="3707"/>
      <c r="Q22" s="2782"/>
      <c r="R22" s="1356"/>
      <c r="S22" s="1357"/>
      <c r="T22" s="1356"/>
      <c r="U22" s="1357"/>
      <c r="V22" s="1356"/>
      <c r="W22" s="1357"/>
      <c r="X22" s="2784"/>
      <c r="Y22" s="3700"/>
      <c r="Z22" s="2783"/>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8"/>
      <c r="M23" s="2323"/>
      <c r="N23" s="2323"/>
      <c r="O23" s="2323"/>
      <c r="P23" s="3707"/>
      <c r="Q23" s="1355" t="str">
        <f>B23</f>
        <v>自然及人文环境</v>
      </c>
      <c r="R23" s="1356" t="s">
        <v>70</v>
      </c>
      <c r="S23" s="1357">
        <f>F23</f>
        <v>98.5</v>
      </c>
      <c r="T23" s="1356" t="s">
        <v>70</v>
      </c>
      <c r="U23" s="1357">
        <f>H23</f>
        <v>103</v>
      </c>
      <c r="V23" s="1356" t="s">
        <v>70</v>
      </c>
      <c r="W23" s="1357">
        <f>J23</f>
        <v>101.5</v>
      </c>
      <c r="X23" s="1344"/>
      <c r="Y23" s="3700"/>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8"/>
      <c r="M24" s="2323"/>
      <c r="N24" s="2323"/>
      <c r="O24" s="2323"/>
      <c r="P24" s="3707"/>
      <c r="Q24" s="1355"/>
      <c r="R24" s="1356"/>
      <c r="S24" s="1357"/>
      <c r="T24" s="1356"/>
      <c r="U24" s="1357"/>
      <c r="V24" s="1356"/>
      <c r="W24" s="1357"/>
      <c r="X24" s="1344"/>
      <c r="Y24" s="3700"/>
      <c r="Z24" s="1358"/>
      <c r="AA24" s="1359">
        <v>1</v>
      </c>
      <c r="AB24" s="1359">
        <v>1</v>
      </c>
      <c r="AC24" s="1359">
        <v>1</v>
      </c>
    </row>
    <row r="25" spans="1:29" ht="15">
      <c r="A25" s="151"/>
      <c r="B25" s="12" t="s">
        <v>194</v>
      </c>
      <c r="C25" s="182" t="s">
        <v>178</v>
      </c>
      <c r="D25" s="783">
        <v>100</v>
      </c>
      <c r="E25" s="182" t="s">
        <v>275</v>
      </c>
      <c r="F25" s="809">
        <f>SUMIF(86:86,E25,87:87)-SUMIF(86:86,C25,87:87)+100</f>
        <v>104</v>
      </c>
      <c r="G25" s="182" t="s">
        <v>260</v>
      </c>
      <c r="H25" s="783">
        <f>SUMIF(86:86,G25,87:87)-SUMIF(86:86,C25,87:87)+100</f>
        <v>102</v>
      </c>
      <c r="I25" s="182" t="s">
        <v>261</v>
      </c>
      <c r="J25" s="783">
        <f>SUMIF(86:86,I25,87:87)-SUMIF(86:86,C25,87:87)+100</f>
        <v>98</v>
      </c>
      <c r="K25" s="959">
        <v>2</v>
      </c>
      <c r="L25" s="2328"/>
      <c r="M25" s="2323"/>
      <c r="N25" s="2323"/>
      <c r="O25" s="2323"/>
      <c r="P25" s="3707"/>
      <c r="Q25" s="1355" t="str">
        <f t="shared" ref="Q25:Q46" si="11">B25</f>
        <v>临街状况</v>
      </c>
      <c r="R25" s="1356" t="s">
        <v>70</v>
      </c>
      <c r="S25" s="1357">
        <f>F25</f>
        <v>104</v>
      </c>
      <c r="T25" s="1356" t="s">
        <v>70</v>
      </c>
      <c r="U25" s="1357">
        <f>H25</f>
        <v>102</v>
      </c>
      <c r="V25" s="1356" t="s">
        <v>70</v>
      </c>
      <c r="W25" s="1357">
        <f>J25</f>
        <v>98</v>
      </c>
      <c r="X25" s="1344"/>
      <c r="Y25" s="3700"/>
      <c r="Z25" s="1358" t="str">
        <f>Q25</f>
        <v>临街状况</v>
      </c>
      <c r="AA25" s="1359">
        <f t="shared" si="3"/>
        <v>0.96153846153846156</v>
      </c>
      <c r="AB25" s="1359">
        <f t="shared" si="4"/>
        <v>0.98039215686274506</v>
      </c>
      <c r="AC25" s="1359">
        <f t="shared" si="5"/>
        <v>1.0204081632653061</v>
      </c>
    </row>
    <row r="26" spans="1:29" ht="14.25">
      <c r="A26" s="151"/>
      <c r="B26" s="1361" t="s">
        <v>1262</v>
      </c>
      <c r="C26" s="93" t="s">
        <v>1263</v>
      </c>
      <c r="D26" s="783">
        <v>100</v>
      </c>
      <c r="E26" s="93" t="s">
        <v>1264</v>
      </c>
      <c r="F26" s="809">
        <f>SUMIF(88:88,E26,89:89)-SUMIF(88:88,C26,89:89)+100</f>
        <v>98</v>
      </c>
      <c r="G26" s="93" t="s">
        <v>1265</v>
      </c>
      <c r="H26" s="783">
        <f>SUMIF(88:88,G26,89:89)-SUMIF(88:88,C26,89:89)+100</f>
        <v>96</v>
      </c>
      <c r="I26" s="93" t="s">
        <v>1266</v>
      </c>
      <c r="J26" s="783">
        <f>SUMIF(88:88,I26,89:89)-SUMIF(88:88,C26,89:89)+100</f>
        <v>92</v>
      </c>
      <c r="K26" s="188"/>
      <c r="L26" s="2328"/>
      <c r="M26" s="2323"/>
      <c r="N26" s="2323"/>
      <c r="O26" s="2323"/>
      <c r="P26" s="3707"/>
      <c r="Q26" s="1355" t="str">
        <f t="shared" si="11"/>
        <v>平面位置/可视性</v>
      </c>
      <c r="R26" s="1356" t="s">
        <v>70</v>
      </c>
      <c r="S26" s="1357">
        <f>F26</f>
        <v>98</v>
      </c>
      <c r="T26" s="1356" t="s">
        <v>70</v>
      </c>
      <c r="U26" s="1357">
        <f>H26</f>
        <v>96</v>
      </c>
      <c r="V26" s="1356" t="s">
        <v>70</v>
      </c>
      <c r="W26" s="1357">
        <f>J26</f>
        <v>92</v>
      </c>
      <c r="X26" s="1344"/>
      <c r="Y26" s="3700"/>
      <c r="Z26" s="1358" t="str">
        <f>Q26</f>
        <v>平面位置/可视性</v>
      </c>
      <c r="AA26" s="1359">
        <f t="shared" si="3"/>
        <v>1.0204081632653061</v>
      </c>
      <c r="AB26" s="1359">
        <f t="shared" si="4"/>
        <v>1.0416666666666667</v>
      </c>
      <c r="AC26" s="1359">
        <f t="shared" si="5"/>
        <v>1.0869565217391304</v>
      </c>
    </row>
    <row r="27" spans="1:29" s="40" customFormat="1" ht="15">
      <c r="A27" s="1034"/>
      <c r="B27" s="1360" t="s">
        <v>1267</v>
      </c>
      <c r="C27" s="1391" t="s">
        <v>179</v>
      </c>
      <c r="D27" s="810">
        <v>100</v>
      </c>
      <c r="E27" s="1391" t="s">
        <v>276</v>
      </c>
      <c r="F27" s="811">
        <f>SUMIF(90:90,E27,91:91)-SUMIF(90:90,C27,91:91)+100</f>
        <v>97</v>
      </c>
      <c r="G27" s="1391" t="s">
        <v>124</v>
      </c>
      <c r="H27" s="810">
        <f>SUMIF(90:90,G27,91:91)-SUMIF(90:90,C27,91:91)+100</f>
        <v>94</v>
      </c>
      <c r="I27" s="1391" t="s">
        <v>277</v>
      </c>
      <c r="J27" s="810">
        <f>SUMIF(90:90,I27,91:91)-SUMIF(90:90,C27,91:91)+100</f>
        <v>91</v>
      </c>
      <c r="K27" s="959">
        <v>3</v>
      </c>
      <c r="L27" s="2324"/>
      <c r="M27" s="2286"/>
      <c r="N27" s="2286"/>
      <c r="O27" s="2286"/>
      <c r="P27" s="3707"/>
      <c r="Q27" s="7" t="str">
        <f t="shared" si="11"/>
        <v>人流量</v>
      </c>
      <c r="R27" s="1346" t="s">
        <v>70</v>
      </c>
      <c r="S27" s="1347">
        <f>F27</f>
        <v>97</v>
      </c>
      <c r="T27" s="1346" t="s">
        <v>70</v>
      </c>
      <c r="U27" s="1347">
        <f>H27</f>
        <v>94</v>
      </c>
      <c r="V27" s="1346" t="s">
        <v>70</v>
      </c>
      <c r="W27" s="1347">
        <f>J27</f>
        <v>91</v>
      </c>
      <c r="X27" s="293"/>
      <c r="Y27" s="3700"/>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278</v>
      </c>
      <c r="F28" s="809">
        <f>SUMIF(92:92,E28,93:93)-SUMIF(92:92,C28,93:93)+100</f>
        <v>90</v>
      </c>
      <c r="G28" s="182" t="s">
        <v>197</v>
      </c>
      <c r="H28" s="783">
        <f>SUMIF(92:92,G28,93:93)-SUMIF(92:92,C28,93:93)+100</f>
        <v>100</v>
      </c>
      <c r="I28" s="182" t="s">
        <v>197</v>
      </c>
      <c r="J28" s="783">
        <f>SUMIF(92:92,I28,93:93)-SUMIF(92:92,C28,93:93)+100</f>
        <v>100</v>
      </c>
      <c r="K28" s="188"/>
      <c r="L28" s="2328"/>
      <c r="M28" s="2323"/>
      <c r="N28" s="2323"/>
      <c r="O28" s="2323"/>
      <c r="P28" s="3707"/>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00"/>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8"/>
      <c r="M29" s="2323"/>
      <c r="N29" s="2323"/>
      <c r="O29" s="2323"/>
      <c r="P29" s="3707"/>
      <c r="Q29" s="1355">
        <f t="shared" si="11"/>
        <v>111</v>
      </c>
      <c r="R29" s="1356" t="s">
        <v>70</v>
      </c>
      <c r="S29" s="1357">
        <f t="shared" si="12"/>
        <v>100</v>
      </c>
      <c r="T29" s="1356" t="s">
        <v>70</v>
      </c>
      <c r="U29" s="1357">
        <f t="shared" si="13"/>
        <v>100</v>
      </c>
      <c r="V29" s="1356" t="s">
        <v>70</v>
      </c>
      <c r="W29" s="1357">
        <f t="shared" si="14"/>
        <v>100</v>
      </c>
      <c r="X29" s="1344"/>
      <c r="Y29" s="3700"/>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8"/>
      <c r="M30" s="2323"/>
      <c r="N30" s="2323"/>
      <c r="O30" s="2323"/>
      <c r="P30" s="3707"/>
      <c r="Q30" s="1355">
        <f t="shared" si="11"/>
        <v>111</v>
      </c>
      <c r="R30" s="1356" t="s">
        <v>70</v>
      </c>
      <c r="S30" s="1357">
        <f t="shared" si="12"/>
        <v>100</v>
      </c>
      <c r="T30" s="1356" t="s">
        <v>70</v>
      </c>
      <c r="U30" s="1357">
        <f t="shared" si="13"/>
        <v>100</v>
      </c>
      <c r="V30" s="1356" t="s">
        <v>70</v>
      </c>
      <c r="W30" s="1357">
        <f t="shared" si="14"/>
        <v>100</v>
      </c>
      <c r="X30" s="1344"/>
      <c r="Y30" s="3700"/>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8"/>
      <c r="M31" s="2323"/>
      <c r="N31" s="2323"/>
      <c r="O31" s="2323"/>
      <c r="P31" s="3707"/>
      <c r="Q31" s="1355">
        <f t="shared" si="11"/>
        <v>111</v>
      </c>
      <c r="R31" s="1356" t="s">
        <v>70</v>
      </c>
      <c r="S31" s="1357">
        <f t="shared" si="12"/>
        <v>100</v>
      </c>
      <c r="T31" s="1356" t="s">
        <v>70</v>
      </c>
      <c r="U31" s="1357">
        <f t="shared" si="13"/>
        <v>100</v>
      </c>
      <c r="V31" s="1356" t="s">
        <v>70</v>
      </c>
      <c r="W31" s="1357">
        <f t="shared" si="14"/>
        <v>100</v>
      </c>
      <c r="X31" s="1344"/>
      <c r="Y31" s="3700"/>
      <c r="Z31" s="1358">
        <f t="shared" si="15"/>
        <v>111</v>
      </c>
      <c r="AA31" s="1359">
        <f t="shared" si="3"/>
        <v>1</v>
      </c>
      <c r="AB31" s="1359">
        <f t="shared" si="4"/>
        <v>1</v>
      </c>
      <c r="AC31" s="1359">
        <f t="shared" si="5"/>
        <v>1</v>
      </c>
    </row>
    <row r="32" spans="1:29" ht="15">
      <c r="A32" s="155" t="s">
        <v>1268</v>
      </c>
      <c r="B32" s="62" t="s">
        <v>1269</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8"/>
      <c r="M32" s="2323"/>
      <c r="N32" s="2323"/>
      <c r="O32" s="2323"/>
      <c r="P32" s="3701" t="s">
        <v>1270</v>
      </c>
      <c r="Q32" s="1355" t="str">
        <f t="shared" si="11"/>
        <v>商业类型</v>
      </c>
      <c r="R32" s="1356" t="s">
        <v>70</v>
      </c>
      <c r="S32" s="1357">
        <f t="shared" si="12"/>
        <v>102</v>
      </c>
      <c r="T32" s="1356" t="s">
        <v>70</v>
      </c>
      <c r="U32" s="1357">
        <f t="shared" si="13"/>
        <v>104</v>
      </c>
      <c r="V32" s="1356" t="s">
        <v>70</v>
      </c>
      <c r="W32" s="1357">
        <f t="shared" si="14"/>
        <v>100</v>
      </c>
      <c r="X32" s="1344"/>
      <c r="Y32" s="3704" t="s">
        <v>1270</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7"/>
      <c r="M33" s="2329"/>
      <c r="N33" s="2329"/>
      <c r="O33" s="2329"/>
      <c r="P33" s="3702"/>
      <c r="Q33" s="1363" t="str">
        <f t="shared" si="11"/>
        <v>项目建筑规模</v>
      </c>
      <c r="R33" s="1364" t="s">
        <v>70</v>
      </c>
      <c r="S33" s="1365">
        <f t="shared" si="12"/>
        <v>92</v>
      </c>
      <c r="T33" s="1364" t="s">
        <v>70</v>
      </c>
      <c r="U33" s="1365">
        <f t="shared" si="13"/>
        <v>94</v>
      </c>
      <c r="V33" s="1364" t="s">
        <v>70</v>
      </c>
      <c r="W33" s="1365">
        <f t="shared" si="14"/>
        <v>96</v>
      </c>
      <c r="X33" s="1366"/>
      <c r="Y33" s="3704"/>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8"/>
      <c r="M34" s="2323"/>
      <c r="N34" s="2323"/>
      <c r="O34" s="2323"/>
      <c r="P34" s="3702"/>
      <c r="Q34" s="1355" t="str">
        <f t="shared" si="11"/>
        <v>建筑结构</v>
      </c>
      <c r="R34" s="1356" t="s">
        <v>70</v>
      </c>
      <c r="S34" s="1357">
        <f t="shared" si="12"/>
        <v>100</v>
      </c>
      <c r="T34" s="1356" t="s">
        <v>70</v>
      </c>
      <c r="U34" s="1357">
        <f t="shared" si="13"/>
        <v>101</v>
      </c>
      <c r="V34" s="1356" t="s">
        <v>70</v>
      </c>
      <c r="W34" s="1357">
        <f t="shared" si="14"/>
        <v>99</v>
      </c>
      <c r="X34" s="1344"/>
      <c r="Y34" s="3704"/>
      <c r="Z34" s="1358" t="str">
        <f t="shared" si="15"/>
        <v>建筑结构</v>
      </c>
      <c r="AA34" s="1359">
        <f t="shared" si="3"/>
        <v>1</v>
      </c>
      <c r="AB34" s="1359">
        <f t="shared" si="4"/>
        <v>0.99009900990099009</v>
      </c>
      <c r="AC34" s="1359">
        <f t="shared" si="5"/>
        <v>1.0101010101010102</v>
      </c>
    </row>
    <row r="35" spans="1:29" ht="15">
      <c r="A35" s="161"/>
      <c r="B35" s="12" t="s">
        <v>1271</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8"/>
      <c r="M35" s="2323"/>
      <c r="N35" s="2323"/>
      <c r="O35" s="2323"/>
      <c r="P35" s="3702"/>
      <c r="Q35" s="1355" t="str">
        <f t="shared" si="11"/>
        <v>公共部分装修</v>
      </c>
      <c r="R35" s="1356" t="s">
        <v>70</v>
      </c>
      <c r="S35" s="1357">
        <f t="shared" si="12"/>
        <v>97</v>
      </c>
      <c r="T35" s="1356" t="s">
        <v>70</v>
      </c>
      <c r="U35" s="1357">
        <f t="shared" si="13"/>
        <v>103</v>
      </c>
      <c r="V35" s="1356" t="s">
        <v>70</v>
      </c>
      <c r="W35" s="1357">
        <f t="shared" si="14"/>
        <v>94</v>
      </c>
      <c r="X35" s="1344"/>
      <c r="Y35" s="3704"/>
      <c r="Z35" s="1358" t="str">
        <f t="shared" si="15"/>
        <v>公共部分装修</v>
      </c>
      <c r="AA35" s="1359">
        <f t="shared" si="3"/>
        <v>1.0309278350515463</v>
      </c>
      <c r="AB35" s="1359">
        <f t="shared" si="4"/>
        <v>0.970873786407767</v>
      </c>
      <c r="AC35" s="1359">
        <f t="shared" si="5"/>
        <v>1.0638297872340425</v>
      </c>
    </row>
    <row r="36" spans="1:29" ht="15">
      <c r="A36" s="161"/>
      <c r="B36" s="12" t="s">
        <v>1272</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8"/>
      <c r="M36" s="2323"/>
      <c r="N36" s="2323"/>
      <c r="O36" s="2323"/>
      <c r="P36" s="3702"/>
      <c r="Q36" s="1355" t="str">
        <f t="shared" si="11"/>
        <v>成新度</v>
      </c>
      <c r="R36" s="1356" t="s">
        <v>70</v>
      </c>
      <c r="S36" s="1357">
        <f t="shared" si="12"/>
        <v>98</v>
      </c>
      <c r="T36" s="1356" t="s">
        <v>70</v>
      </c>
      <c r="U36" s="1357">
        <f t="shared" si="13"/>
        <v>100</v>
      </c>
      <c r="V36" s="1356" t="s">
        <v>70</v>
      </c>
      <c r="W36" s="1357">
        <f t="shared" si="14"/>
        <v>100</v>
      </c>
      <c r="X36" s="1344"/>
      <c r="Y36" s="3704"/>
      <c r="Z36" s="1358" t="str">
        <f t="shared" si="15"/>
        <v>成新度</v>
      </c>
      <c r="AA36" s="1359">
        <f t="shared" si="3"/>
        <v>1.0204081632653061</v>
      </c>
      <c r="AB36" s="1359">
        <f t="shared" si="4"/>
        <v>1</v>
      </c>
      <c r="AC36" s="1359">
        <f t="shared" si="5"/>
        <v>1</v>
      </c>
    </row>
    <row r="37" spans="1:29" s="40" customFormat="1" ht="15">
      <c r="A37" s="1046"/>
      <c r="B37" s="12" t="s">
        <v>3055</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4"/>
      <c r="M37" s="2286"/>
      <c r="N37" s="2286"/>
      <c r="O37" s="2286"/>
      <c r="P37" s="3702"/>
      <c r="Q37" s="7" t="str">
        <f t="shared" si="11"/>
        <v>市政基础设施</v>
      </c>
      <c r="R37" s="1346" t="s">
        <v>70</v>
      </c>
      <c r="S37" s="1347">
        <f t="shared" si="12"/>
        <v>98.5</v>
      </c>
      <c r="T37" s="1346" t="s">
        <v>70</v>
      </c>
      <c r="U37" s="1347">
        <f t="shared" si="13"/>
        <v>97</v>
      </c>
      <c r="V37" s="1346" t="s">
        <v>70</v>
      </c>
      <c r="W37" s="1347">
        <f t="shared" si="14"/>
        <v>95.5</v>
      </c>
      <c r="X37" s="293"/>
      <c r="Y37" s="3704"/>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8"/>
      <c r="M38" s="2323"/>
      <c r="N38" s="2323"/>
      <c r="O38" s="2323"/>
      <c r="P38" s="3702" t="s">
        <v>1273</v>
      </c>
      <c r="Q38" s="1355" t="str">
        <f t="shared" si="11"/>
        <v>业态</v>
      </c>
      <c r="R38" s="1356" t="s">
        <v>70</v>
      </c>
      <c r="S38" s="1357">
        <f t="shared" si="12"/>
        <v>100</v>
      </c>
      <c r="T38" s="1356" t="s">
        <v>70</v>
      </c>
      <c r="U38" s="1357">
        <f t="shared" si="13"/>
        <v>95</v>
      </c>
      <c r="V38" s="1356" t="s">
        <v>70</v>
      </c>
      <c r="W38" s="1357">
        <f t="shared" si="14"/>
        <v>100</v>
      </c>
      <c r="X38" s="1344"/>
      <c r="Y38" s="3704" t="s">
        <v>1273</v>
      </c>
      <c r="Z38" s="1358" t="str">
        <f t="shared" si="15"/>
        <v>业态</v>
      </c>
      <c r="AA38" s="1359">
        <f t="shared" si="3"/>
        <v>1</v>
      </c>
      <c r="AB38" s="1359">
        <f t="shared" si="4"/>
        <v>1.0526315789473684</v>
      </c>
      <c r="AC38" s="1359">
        <f t="shared" si="5"/>
        <v>1</v>
      </c>
    </row>
    <row r="39" spans="1:29" ht="15">
      <c r="A39" s="161"/>
      <c r="B39" s="12" t="s">
        <v>1274</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8"/>
      <c r="M39" s="2323"/>
      <c r="N39" s="2323"/>
      <c r="O39" s="2323"/>
      <c r="P39" s="3702"/>
      <c r="Q39" s="1355" t="str">
        <f t="shared" si="11"/>
        <v>层高</v>
      </c>
      <c r="R39" s="1356" t="s">
        <v>70</v>
      </c>
      <c r="S39" s="1357">
        <f t="shared" si="12"/>
        <v>102</v>
      </c>
      <c r="T39" s="1356" t="s">
        <v>70</v>
      </c>
      <c r="U39" s="1357">
        <f t="shared" si="13"/>
        <v>100</v>
      </c>
      <c r="V39" s="1356" t="s">
        <v>70</v>
      </c>
      <c r="W39" s="1357">
        <f t="shared" si="14"/>
        <v>100</v>
      </c>
      <c r="X39" s="1344"/>
      <c r="Y39" s="3704"/>
      <c r="Z39" s="1358" t="str">
        <f t="shared" si="15"/>
        <v>层高</v>
      </c>
      <c r="AA39" s="1359">
        <f t="shared" si="3"/>
        <v>0.98039215686274506</v>
      </c>
      <c r="AB39" s="1359">
        <f t="shared" si="4"/>
        <v>1</v>
      </c>
      <c r="AC39" s="1359">
        <f t="shared" si="5"/>
        <v>1</v>
      </c>
    </row>
    <row r="40" spans="1:29" ht="14.25">
      <c r="A40" s="161"/>
      <c r="B40" s="12" t="s">
        <v>1275</v>
      </c>
      <c r="C40" s="964" t="s">
        <v>280</v>
      </c>
      <c r="D40" s="783">
        <v>100</v>
      </c>
      <c r="E40" s="965" t="s">
        <v>290</v>
      </c>
      <c r="F40" s="809">
        <f>SUMIF(118:118,E40,119:119)-SUMIF(118:118,C40,119:119)+100</f>
        <v>102</v>
      </c>
      <c r="G40" s="965" t="s">
        <v>284</v>
      </c>
      <c r="H40" s="783">
        <f>SUMIF(118:118,G40,119:119)-SUMIF(118:118,C40,119:119)+100</f>
        <v>105</v>
      </c>
      <c r="I40" s="965" t="s">
        <v>283</v>
      </c>
      <c r="J40" s="783">
        <f>SUMIF(118:118,I40,119:119)-SUMIF(118:118,C40,119:119)+100</f>
        <v>102</v>
      </c>
      <c r="K40" s="188"/>
      <c r="L40" s="2328"/>
      <c r="M40" s="2323"/>
      <c r="N40" s="2323"/>
      <c r="O40" s="2323"/>
      <c r="P40" s="3702"/>
      <c r="Q40" s="1355" t="str">
        <f t="shared" si="11"/>
        <v>单套建筑面积</v>
      </c>
      <c r="R40" s="1356" t="s">
        <v>70</v>
      </c>
      <c r="S40" s="1357">
        <f t="shared" si="12"/>
        <v>102</v>
      </c>
      <c r="T40" s="1356" t="s">
        <v>70</v>
      </c>
      <c r="U40" s="1357">
        <f t="shared" si="13"/>
        <v>105</v>
      </c>
      <c r="V40" s="1356" t="s">
        <v>70</v>
      </c>
      <c r="W40" s="1357">
        <f t="shared" si="14"/>
        <v>102</v>
      </c>
      <c r="X40" s="1344"/>
      <c r="Y40" s="3704"/>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1276</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7"/>
      <c r="M41" s="2329"/>
      <c r="N41" s="2329"/>
      <c r="O41" s="2329"/>
      <c r="P41" s="3702"/>
      <c r="Q41" s="1363" t="str">
        <f t="shared" si="11"/>
        <v>进深比</v>
      </c>
      <c r="R41" s="1364" t="s">
        <v>70</v>
      </c>
      <c r="S41" s="1365">
        <f t="shared" si="12"/>
        <v>98</v>
      </c>
      <c r="T41" s="1364" t="s">
        <v>70</v>
      </c>
      <c r="U41" s="1365">
        <f t="shared" si="13"/>
        <v>96</v>
      </c>
      <c r="V41" s="1364" t="s">
        <v>70</v>
      </c>
      <c r="W41" s="1365">
        <f t="shared" si="14"/>
        <v>100</v>
      </c>
      <c r="X41" s="1366"/>
      <c r="Y41" s="3704"/>
      <c r="Z41" s="1367" t="str">
        <f t="shared" si="15"/>
        <v>进深比</v>
      </c>
      <c r="AA41" s="1359">
        <f t="shared" si="3"/>
        <v>1.0204081632653061</v>
      </c>
      <c r="AB41" s="1359">
        <f t="shared" si="4"/>
        <v>1.0416666666666667</v>
      </c>
      <c r="AC41" s="1359">
        <f t="shared" si="5"/>
        <v>1</v>
      </c>
    </row>
    <row r="42" spans="1:29" ht="15">
      <c r="A42" s="161"/>
      <c r="B42" s="12" t="s">
        <v>1277</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8"/>
      <c r="M42" s="2323"/>
      <c r="N42" s="2323"/>
      <c r="O42" s="2323"/>
      <c r="P42" s="3702"/>
      <c r="Q42" s="1355" t="str">
        <f t="shared" si="11"/>
        <v>内部装修</v>
      </c>
      <c r="R42" s="1356" t="s">
        <v>70</v>
      </c>
      <c r="S42" s="1357">
        <f t="shared" si="12"/>
        <v>98.5</v>
      </c>
      <c r="T42" s="1356" t="s">
        <v>70</v>
      </c>
      <c r="U42" s="1357">
        <f t="shared" si="13"/>
        <v>97</v>
      </c>
      <c r="V42" s="1356" t="s">
        <v>70</v>
      </c>
      <c r="W42" s="1357">
        <f t="shared" si="14"/>
        <v>100</v>
      </c>
      <c r="X42" s="1344"/>
      <c r="Y42" s="3704"/>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8"/>
      <c r="M43" s="2323"/>
      <c r="N43" s="2323"/>
      <c r="O43" s="2323"/>
      <c r="P43" s="3702"/>
      <c r="Q43" s="1355" t="str">
        <f t="shared" si="11"/>
        <v>内部装修维护情况</v>
      </c>
      <c r="R43" s="1356" t="s">
        <v>70</v>
      </c>
      <c r="S43" s="1357">
        <f t="shared" si="12"/>
        <v>98</v>
      </c>
      <c r="T43" s="1356" t="s">
        <v>70</v>
      </c>
      <c r="U43" s="1357">
        <f t="shared" si="13"/>
        <v>102</v>
      </c>
      <c r="V43" s="1356" t="s">
        <v>70</v>
      </c>
      <c r="W43" s="1357">
        <f t="shared" si="14"/>
        <v>94</v>
      </c>
      <c r="X43" s="1344"/>
      <c r="Y43" s="3704"/>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4"/>
      <c r="M44" s="2286"/>
      <c r="N44" s="2286"/>
      <c r="O44" s="2286"/>
      <c r="P44" s="3702"/>
      <c r="Q44" s="7">
        <f t="shared" si="11"/>
        <v>111</v>
      </c>
      <c r="R44" s="1346" t="s">
        <v>70</v>
      </c>
      <c r="S44" s="1347">
        <f t="shared" si="12"/>
        <v>100</v>
      </c>
      <c r="T44" s="1346" t="s">
        <v>70</v>
      </c>
      <c r="U44" s="1347">
        <f t="shared" si="13"/>
        <v>100</v>
      </c>
      <c r="V44" s="1346" t="s">
        <v>70</v>
      </c>
      <c r="W44" s="1347">
        <f t="shared" si="14"/>
        <v>100</v>
      </c>
      <c r="X44" s="293"/>
      <c r="Y44" s="3704"/>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8"/>
      <c r="M45" s="2323"/>
      <c r="N45" s="2323"/>
      <c r="O45" s="2323"/>
      <c r="P45" s="3702"/>
      <c r="Q45" s="1355">
        <f t="shared" si="11"/>
        <v>111</v>
      </c>
      <c r="R45" s="1356" t="s">
        <v>70</v>
      </c>
      <c r="S45" s="1357">
        <f t="shared" si="12"/>
        <v>100</v>
      </c>
      <c r="T45" s="1356" t="s">
        <v>70</v>
      </c>
      <c r="U45" s="1357">
        <f t="shared" si="13"/>
        <v>100</v>
      </c>
      <c r="V45" s="1356" t="s">
        <v>70</v>
      </c>
      <c r="W45" s="1357">
        <f t="shared" si="14"/>
        <v>100</v>
      </c>
      <c r="X45" s="1344"/>
      <c r="Y45" s="3704"/>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8"/>
      <c r="M46" s="2323"/>
      <c r="N46" s="2323"/>
      <c r="O46" s="2323"/>
      <c r="P46" s="3703"/>
      <c r="Q46" s="1355">
        <f t="shared" si="11"/>
        <v>111</v>
      </c>
      <c r="R46" s="1356" t="s">
        <v>70</v>
      </c>
      <c r="S46" s="1357">
        <f t="shared" si="12"/>
        <v>100</v>
      </c>
      <c r="T46" s="1356" t="s">
        <v>70</v>
      </c>
      <c r="U46" s="1357">
        <f t="shared" si="13"/>
        <v>100</v>
      </c>
      <c r="V46" s="1356" t="s">
        <v>70</v>
      </c>
      <c r="W46" s="1357">
        <f t="shared" si="14"/>
        <v>100</v>
      </c>
      <c r="X46" s="1344"/>
      <c r="Y46" s="3705"/>
      <c r="Z46" s="1358">
        <f t="shared" si="15"/>
        <v>111</v>
      </c>
      <c r="AA46" s="1359">
        <f t="shared" si="3"/>
        <v>1</v>
      </c>
      <c r="AB46" s="1359">
        <f t="shared" si="4"/>
        <v>1</v>
      </c>
      <c r="AC46" s="1359">
        <f t="shared" si="5"/>
        <v>1</v>
      </c>
    </row>
    <row r="47" spans="1:29" ht="15">
      <c r="A47" s="163" t="s">
        <v>1278</v>
      </c>
      <c r="B47" s="164"/>
      <c r="C47" s="2872" t="s">
        <v>23</v>
      </c>
      <c r="D47" s="2873"/>
      <c r="E47" s="2874">
        <v>30000</v>
      </c>
      <c r="F47" s="2875"/>
      <c r="G47" s="2876">
        <v>35000</v>
      </c>
      <c r="H47" s="2877"/>
      <c r="I47" s="2874">
        <v>32000</v>
      </c>
      <c r="J47" s="2877"/>
      <c r="K47" s="1397"/>
      <c r="L47" s="2330"/>
      <c r="M47" s="2331"/>
      <c r="N47" s="2323"/>
      <c r="O47" s="2331"/>
      <c r="P47" s="3697" t="str">
        <f>A47</f>
        <v>成交单价（元/平方米）</v>
      </c>
      <c r="Q47" s="3697"/>
      <c r="R47" s="3692">
        <f>E47</f>
        <v>30000</v>
      </c>
      <c r="S47" s="3692"/>
      <c r="T47" s="3692">
        <f>G47</f>
        <v>35000</v>
      </c>
      <c r="U47" s="3692"/>
      <c r="V47" s="3692">
        <f>I47</f>
        <v>32000</v>
      </c>
      <c r="W47" s="3692"/>
      <c r="X47" s="1369"/>
      <c r="Y47" s="1370"/>
      <c r="Z47" s="1369"/>
      <c r="AA47" s="1369"/>
      <c r="AB47" s="1369"/>
      <c r="AC47" s="1369"/>
    </row>
    <row r="48" spans="1:29" ht="15.75" thickBot="1">
      <c r="A48" s="165" t="s">
        <v>1279</v>
      </c>
      <c r="B48" s="166"/>
      <c r="C48" s="2878" t="e">
        <f>R49</f>
        <v>#DIV/0!</v>
      </c>
      <c r="D48" s="2879"/>
      <c r="E48" s="2880" t="e">
        <f>R48</f>
        <v>#DIV/0!</v>
      </c>
      <c r="F48" s="2880"/>
      <c r="G48" s="2878" t="e">
        <f>T48</f>
        <v>#DIV/0!</v>
      </c>
      <c r="H48" s="2879"/>
      <c r="I48" s="2880" t="e">
        <f>V48</f>
        <v>#DIV/0!</v>
      </c>
      <c r="J48" s="2879"/>
      <c r="K48" s="1398"/>
      <c r="L48" s="2330"/>
      <c r="M48" s="2331"/>
      <c r="N48" s="2323"/>
      <c r="O48" s="2331"/>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369"/>
      <c r="Y48" s="1369"/>
      <c r="Z48" s="1369"/>
      <c r="AA48" s="1369"/>
      <c r="AB48" s="1369"/>
      <c r="AC48" s="1369"/>
    </row>
    <row r="49" spans="1:29" ht="15.75" thickBot="1">
      <c r="A49" s="115" t="s">
        <v>1280</v>
      </c>
      <c r="B49" s="116"/>
      <c r="C49" s="2882" t="e">
        <f>R49</f>
        <v>#DIV/0!</v>
      </c>
      <c r="D49" s="2882"/>
      <c r="E49" s="2882"/>
      <c r="F49" s="2882"/>
      <c r="G49" s="2882"/>
      <c r="H49" s="2882"/>
      <c r="I49" s="2882"/>
      <c r="J49" s="2882"/>
      <c r="K49" s="1399"/>
      <c r="L49" s="2330"/>
      <c r="M49" s="2331"/>
      <c r="N49" s="2323"/>
      <c r="O49" s="2331"/>
      <c r="P49" s="3694" t="str">
        <f>A49</f>
        <v>估价对象XX用房的比较价值（楼面单价，元/平方米）</v>
      </c>
      <c r="Q49" s="3695"/>
      <c r="R49" s="3696" t="e">
        <f>IF(F1="售价",ROUND(AVERAGE(R48:V48),0),ROUND(AVERAGE(R48:V48),1))</f>
        <v>#DIV/0!</v>
      </c>
      <c r="S49" s="3696"/>
      <c r="T49" s="3696"/>
      <c r="U49" s="3696"/>
      <c r="V49" s="3696"/>
      <c r="W49" s="3696"/>
      <c r="X49" s="1369"/>
      <c r="Y49" s="1369"/>
      <c r="Z49" s="1369"/>
      <c r="AA49" s="1369"/>
      <c r="AB49" s="1369"/>
      <c r="AC49" s="1369"/>
    </row>
    <row r="50" spans="1:29">
      <c r="A50" s="2331"/>
      <c r="B50" s="2331"/>
      <c r="C50" s="2331"/>
      <c r="D50" s="2331"/>
      <c r="E50" s="2331"/>
      <c r="F50" s="2331"/>
      <c r="G50" s="2340"/>
      <c r="H50" s="2331"/>
      <c r="I50" s="2331"/>
      <c r="J50" s="2331"/>
      <c r="K50" s="2332"/>
      <c r="L50" s="2333"/>
      <c r="M50" s="2331"/>
      <c r="N50" s="2331"/>
      <c r="O50" s="2331"/>
      <c r="P50" s="214"/>
      <c r="Q50" s="1369"/>
      <c r="R50" s="1369"/>
      <c r="S50" s="1369"/>
      <c r="T50" s="1369"/>
      <c r="U50" s="1369"/>
      <c r="V50" s="1369"/>
      <c r="W50" s="1369"/>
      <c r="X50" s="1369"/>
      <c r="Y50" s="1369"/>
      <c r="Z50" s="1369"/>
      <c r="AA50" s="1369"/>
      <c r="AB50" s="1369"/>
      <c r="AC50" s="1369"/>
    </row>
    <row r="51" spans="1:29">
      <c r="A51" s="2331"/>
      <c r="B51" s="2331"/>
      <c r="C51" s="2331"/>
      <c r="D51" s="2331"/>
      <c r="E51" s="2331"/>
      <c r="F51" s="2331"/>
      <c r="G51" s="2331"/>
      <c r="H51" s="2331"/>
      <c r="I51" s="2331"/>
      <c r="J51" s="2331"/>
      <c r="K51" s="2332"/>
      <c r="L51" s="2333"/>
      <c r="M51" s="2331"/>
      <c r="N51" s="2331"/>
      <c r="O51" s="2331"/>
      <c r="P51" s="214"/>
      <c r="Q51" s="1369"/>
      <c r="R51" s="1369"/>
      <c r="S51" s="1369"/>
      <c r="T51" s="1369"/>
      <c r="U51" s="1369"/>
      <c r="V51" s="1369"/>
      <c r="W51" s="1369"/>
      <c r="X51" s="1369"/>
      <c r="Y51" s="1369"/>
      <c r="Z51" s="1369"/>
      <c r="AA51" s="1369"/>
      <c r="AB51" s="1369"/>
      <c r="AC51" s="1369"/>
    </row>
    <row r="52" spans="1:29" ht="13.5" customHeight="1">
      <c r="A52" s="2331"/>
      <c r="B52" s="2331"/>
      <c r="C52" s="844" t="s">
        <v>1242</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2"/>
      <c r="L52" s="2333"/>
      <c r="M52" s="2331"/>
      <c r="N52" s="2331"/>
      <c r="O52" s="2331"/>
      <c r="P52" s="214"/>
      <c r="Q52" s="1369"/>
      <c r="R52" s="1369"/>
      <c r="S52" s="1369"/>
      <c r="T52" s="1369"/>
      <c r="U52" s="1369"/>
      <c r="V52" s="1369"/>
      <c r="W52" s="1369"/>
      <c r="X52" s="1369"/>
      <c r="Y52" s="1369"/>
      <c r="Z52" s="1369"/>
      <c r="AA52" s="1369"/>
      <c r="AB52" s="1369"/>
      <c r="AC52" s="1369"/>
    </row>
    <row r="53" spans="1:29" ht="13.5" customHeight="1">
      <c r="A53" s="2331"/>
      <c r="B53" s="2331"/>
      <c r="C53" s="844" t="s">
        <v>1243</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2"/>
      <c r="L53" s="2333"/>
      <c r="M53" s="2331"/>
      <c r="N53" s="2331"/>
      <c r="O53" s="2331"/>
      <c r="P53" s="214"/>
      <c r="Q53" s="1369"/>
      <c r="R53" s="1369"/>
      <c r="S53" s="1369"/>
      <c r="T53" s="1369"/>
      <c r="U53" s="1369"/>
      <c r="V53" s="1369"/>
      <c r="W53" s="1369"/>
      <c r="X53" s="1369"/>
      <c r="Y53" s="1369"/>
      <c r="Z53" s="1369"/>
      <c r="AA53" s="1369"/>
      <c r="AB53" s="1369"/>
      <c r="AC53" s="1369"/>
    </row>
    <row r="54" spans="1:29" s="119" customFormat="1" ht="13.5" customHeight="1">
      <c r="A54" s="2336"/>
      <c r="B54" s="2336"/>
      <c r="C54" s="844" t="s">
        <v>1244</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4"/>
      <c r="L54" s="2335"/>
      <c r="M54" s="2336"/>
      <c r="N54" s="2336"/>
      <c r="O54" s="2336"/>
      <c r="P54" s="1400"/>
      <c r="Q54" s="1374"/>
      <c r="R54" s="1374"/>
      <c r="S54" s="1374"/>
      <c r="T54" s="1374"/>
      <c r="U54" s="1374"/>
      <c r="V54" s="1374"/>
      <c r="W54" s="1374"/>
      <c r="X54" s="1374"/>
      <c r="Y54" s="1374"/>
      <c r="Z54" s="1374"/>
      <c r="AA54" s="1374"/>
      <c r="AB54" s="1374"/>
      <c r="AC54" s="1374"/>
    </row>
    <row r="55" spans="1:29" s="119" customFormat="1">
      <c r="A55" s="2336"/>
      <c r="B55" s="2341"/>
      <c r="C55" s="2342"/>
      <c r="D55" s="2336"/>
      <c r="E55" s="2336"/>
      <c r="F55" s="2336"/>
      <c r="G55" s="2336"/>
      <c r="H55" s="2336"/>
      <c r="I55" s="2336"/>
      <c r="J55" s="2336"/>
      <c r="K55" s="2334"/>
      <c r="L55" s="2335"/>
      <c r="M55" s="2336"/>
      <c r="N55" s="2336"/>
      <c r="O55" s="2336"/>
      <c r="P55" s="1400"/>
      <c r="Q55" s="1374"/>
      <c r="R55" s="1374"/>
      <c r="S55" s="1374"/>
      <c r="T55" s="1374"/>
      <c r="U55" s="1374"/>
      <c r="V55" s="1374"/>
      <c r="W55" s="1374"/>
      <c r="X55" s="1374"/>
      <c r="Y55" s="1374"/>
      <c r="Z55" s="1374"/>
      <c r="AA55" s="1374"/>
      <c r="AB55" s="1374"/>
      <c r="AC55" s="1374"/>
    </row>
    <row r="56" spans="1:29">
      <c r="A56" s="2331"/>
      <c r="B56" s="2341"/>
      <c r="C56" s="2342"/>
      <c r="D56" s="2331"/>
      <c r="E56" s="2331"/>
      <c r="F56" s="2331"/>
      <c r="G56" s="2331"/>
      <c r="H56" s="2331"/>
      <c r="I56" s="2331"/>
      <c r="J56" s="2331"/>
      <c r="K56" s="2332"/>
      <c r="L56" s="2333"/>
      <c r="M56" s="2331"/>
      <c r="N56" s="2331"/>
      <c r="O56" s="2331"/>
      <c r="P56" s="214"/>
      <c r="Q56" s="1369"/>
      <c r="R56" s="1369"/>
      <c r="S56" s="1369"/>
      <c r="T56" s="1369"/>
      <c r="U56" s="1369"/>
      <c r="V56" s="1369"/>
      <c r="W56" s="1369"/>
      <c r="X56" s="1369"/>
      <c r="Y56" s="1369"/>
      <c r="Z56" s="1369"/>
      <c r="AA56" s="1369"/>
      <c r="AB56" s="1369"/>
      <c r="AC56" s="1369"/>
    </row>
    <row r="57" spans="1:29" ht="21" thickBot="1">
      <c r="A57" s="1376" t="s">
        <v>1281</v>
      </c>
      <c r="B57" s="1369"/>
      <c r="C57" s="1377"/>
      <c r="D57" s="1377"/>
      <c r="E57" s="1377"/>
      <c r="F57" s="1378"/>
      <c r="G57" s="1378"/>
      <c r="H57" s="1377"/>
      <c r="I57" s="1377"/>
      <c r="J57" s="1377"/>
      <c r="K57" s="1379"/>
      <c r="L57" s="2338"/>
      <c r="M57" s="2339"/>
      <c r="N57" s="2339"/>
      <c r="O57" s="2339"/>
      <c r="P57" s="1401"/>
      <c r="Q57" s="1402"/>
      <c r="R57" s="1369"/>
      <c r="S57" s="1369"/>
      <c r="T57" s="1369"/>
      <c r="U57" s="1369"/>
      <c r="V57" s="1369"/>
      <c r="W57" s="1369"/>
      <c r="X57" s="1369"/>
      <c r="Y57" s="1369"/>
      <c r="Z57" s="1369"/>
      <c r="AA57" s="1369"/>
      <c r="AB57" s="1369"/>
      <c r="AC57" s="1369"/>
    </row>
    <row r="58" spans="1:29" s="855" customFormat="1" ht="15">
      <c r="A58" s="852" t="s">
        <v>3197</v>
      </c>
      <c r="B58" s="853"/>
      <c r="C58" s="3082" t="str">
        <f>YEAR(C7)&amp;"-"&amp;MONTH(C7)</f>
        <v>2017-8</v>
      </c>
      <c r="D58" s="3083">
        <f>EDATE(C58,-1)</f>
        <v>42917</v>
      </c>
      <c r="E58" s="3083">
        <f t="shared" ref="E58:N58" si="16">EDATE(D58,-1)</f>
        <v>42887</v>
      </c>
      <c r="F58" s="3083">
        <f t="shared" si="16"/>
        <v>42856</v>
      </c>
      <c r="G58" s="3083">
        <f t="shared" si="16"/>
        <v>42826</v>
      </c>
      <c r="H58" s="3083">
        <f t="shared" si="16"/>
        <v>42795</v>
      </c>
      <c r="I58" s="3083">
        <f t="shared" si="16"/>
        <v>42767</v>
      </c>
      <c r="J58" s="3083">
        <f t="shared" si="16"/>
        <v>42736</v>
      </c>
      <c r="K58" s="3083">
        <f t="shared" si="16"/>
        <v>42705</v>
      </c>
      <c r="L58" s="3083">
        <f t="shared" si="16"/>
        <v>42675</v>
      </c>
      <c r="M58" s="3083">
        <f t="shared" si="16"/>
        <v>42644</v>
      </c>
      <c r="N58" s="3083">
        <f t="shared" si="16"/>
        <v>42614</v>
      </c>
      <c r="O58" s="3083">
        <f>EDATE(N58,-1)</f>
        <v>42583</v>
      </c>
      <c r="P58" s="3076"/>
    </row>
    <row r="59" spans="1:29" s="40" customFormat="1" ht="14.25">
      <c r="A59" s="1050"/>
      <c r="B59" s="1051"/>
      <c r="C59" s="308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1282</v>
      </c>
      <c r="B60" s="1053"/>
      <c r="C60" s="864"/>
      <c r="D60" s="865"/>
      <c r="E60" s="865"/>
      <c r="F60" s="865"/>
      <c r="G60" s="865"/>
      <c r="H60" s="865"/>
      <c r="I60" s="865"/>
      <c r="J60" s="865"/>
      <c r="K60" s="865"/>
      <c r="L60" s="865"/>
      <c r="M60" s="866"/>
      <c r="N60" s="865"/>
      <c r="O60" s="866"/>
      <c r="P60" s="1381"/>
      <c r="Q60" s="121"/>
    </row>
    <row r="61" spans="1:29" s="40" customFormat="1">
      <c r="A61" s="1054" t="s">
        <v>1283</v>
      </c>
      <c r="B61" s="1051"/>
      <c r="C61" s="1055" t="s">
        <v>1284</v>
      </c>
      <c r="D61" s="140" t="s">
        <v>1285</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1286</v>
      </c>
      <c r="B63" s="292" t="s">
        <v>1287</v>
      </c>
      <c r="C63" s="176" t="str">
        <f>C9</f>
        <v>商业</v>
      </c>
      <c r="D63" s="122" t="s">
        <v>1288</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1289</v>
      </c>
      <c r="C65" s="886" t="s">
        <v>1245</v>
      </c>
      <c r="D65" s="886" t="s">
        <v>1246</v>
      </c>
      <c r="E65" s="886" t="s">
        <v>1247</v>
      </c>
      <c r="F65" s="886" t="s">
        <v>1248</v>
      </c>
      <c r="G65" s="886" t="s">
        <v>1249</v>
      </c>
      <c r="H65" s="886" t="s">
        <v>1250</v>
      </c>
      <c r="I65" s="886" t="s">
        <v>1251</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1290</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1291</v>
      </c>
      <c r="B76" s="292" t="s">
        <v>1292</v>
      </c>
      <c r="C76" s="920" t="s">
        <v>1252</v>
      </c>
      <c r="D76" s="920" t="s">
        <v>1253</v>
      </c>
      <c r="E76" s="920" t="s">
        <v>1254</v>
      </c>
      <c r="F76" s="920" t="s">
        <v>1255</v>
      </c>
      <c r="G76" s="920" t="s">
        <v>1256</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1298</v>
      </c>
      <c r="C78" s="925" t="s">
        <v>600</v>
      </c>
      <c r="D78" s="925" t="s">
        <v>601</v>
      </c>
      <c r="E78" s="925" t="s">
        <v>602</v>
      </c>
      <c r="F78" s="925" t="s">
        <v>603</v>
      </c>
      <c r="G78" s="925" t="s">
        <v>604</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3037</v>
      </c>
      <c r="C80" s="925" t="s">
        <v>600</v>
      </c>
      <c r="D80" s="925" t="s">
        <v>601</v>
      </c>
      <c r="E80" s="925" t="s">
        <v>602</v>
      </c>
      <c r="F80" s="925" t="s">
        <v>603</v>
      </c>
      <c r="G80" s="925" t="s">
        <v>604</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3056</v>
      </c>
      <c r="C82" s="213" t="s">
        <v>3057</v>
      </c>
      <c r="D82" s="213" t="s">
        <v>3058</v>
      </c>
      <c r="E82" s="213" t="s">
        <v>3059</v>
      </c>
      <c r="F82" s="213" t="s">
        <v>3060</v>
      </c>
      <c r="G82" s="213" t="s">
        <v>3061</v>
      </c>
      <c r="H82" s="886"/>
      <c r="I82" s="886"/>
      <c r="J82" s="886"/>
      <c r="K82" s="886"/>
      <c r="L82" s="886"/>
      <c r="M82" s="2801"/>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1299</v>
      </c>
      <c r="C84" s="925" t="s">
        <v>600</v>
      </c>
      <c r="D84" s="925" t="s">
        <v>601</v>
      </c>
      <c r="E84" s="925" t="s">
        <v>602</v>
      </c>
      <c r="F84" s="925" t="s">
        <v>603</v>
      </c>
      <c r="G84" s="925" t="s">
        <v>604</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1300</v>
      </c>
      <c r="C86" s="139" t="s">
        <v>1301</v>
      </c>
      <c r="D86" s="139" t="s">
        <v>1302</v>
      </c>
      <c r="E86" s="139" t="s">
        <v>1303</v>
      </c>
      <c r="F86" s="139" t="s">
        <v>1304</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1305</v>
      </c>
      <c r="D88" s="139" t="s">
        <v>1306</v>
      </c>
      <c r="E88" s="139" t="s">
        <v>1307</v>
      </c>
      <c r="F88" s="1390" t="s">
        <v>1308</v>
      </c>
      <c r="G88" s="139" t="s">
        <v>1309</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1310</v>
      </c>
      <c r="D90" s="139" t="s">
        <v>1311</v>
      </c>
      <c r="E90" s="139" t="s">
        <v>1307</v>
      </c>
      <c r="F90" s="139" t="s">
        <v>1312</v>
      </c>
      <c r="G90" s="139" t="s">
        <v>1313</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1314</v>
      </c>
      <c r="D92" s="139" t="s">
        <v>1315</v>
      </c>
      <c r="E92" s="139" t="s">
        <v>1316</v>
      </c>
      <c r="F92" s="139" t="s">
        <v>1317</v>
      </c>
      <c r="G92" s="139" t="s">
        <v>1318</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1319</v>
      </c>
      <c r="B100" s="292" t="s">
        <v>1320</v>
      </c>
      <c r="C100" s="122" t="s">
        <v>1321</v>
      </c>
      <c r="D100" s="122" t="s">
        <v>1322</v>
      </c>
      <c r="E100" s="122" t="s">
        <v>1323</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1324</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1325</v>
      </c>
      <c r="C105" s="139" t="s">
        <v>1326</v>
      </c>
      <c r="D105" s="139" t="s">
        <v>1327</v>
      </c>
      <c r="E105" s="131" t="s">
        <v>1328</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1329</v>
      </c>
      <c r="C107" s="139" t="s">
        <v>1330</v>
      </c>
      <c r="D107" s="139" t="s">
        <v>1331</v>
      </c>
      <c r="E107" s="139" t="s">
        <v>1332</v>
      </c>
      <c r="F107" s="131" t="s">
        <v>1333</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1334</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3039</v>
      </c>
      <c r="C112" s="139" t="s">
        <v>1335</v>
      </c>
      <c r="D112" s="139" t="s">
        <v>1336</v>
      </c>
      <c r="E112" s="139" t="s">
        <v>1337</v>
      </c>
      <c r="F112" s="139" t="s">
        <v>1338</v>
      </c>
      <c r="G112" s="139" t="s">
        <v>1339</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1340</v>
      </c>
      <c r="C114" s="139" t="s">
        <v>1341</v>
      </c>
      <c r="D114" s="139" t="s">
        <v>1342</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1343</v>
      </c>
      <c r="C116" s="139" t="s">
        <v>1344</v>
      </c>
      <c r="D116" s="139" t="s">
        <v>1345</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1346</v>
      </c>
      <c r="C118" s="974" t="s">
        <v>280</v>
      </c>
      <c r="D118" s="974" t="s">
        <v>281</v>
      </c>
      <c r="E118" s="974" t="s">
        <v>282</v>
      </c>
      <c r="F118" s="974" t="s">
        <v>283</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1347</v>
      </c>
      <c r="C120" s="131" t="s">
        <v>1348</v>
      </c>
      <c r="D120" s="131" t="s">
        <v>1349</v>
      </c>
      <c r="E120" s="131" t="s">
        <v>1350</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1351</v>
      </c>
      <c r="C122" s="139" t="s">
        <v>1330</v>
      </c>
      <c r="D122" s="139" t="s">
        <v>1331</v>
      </c>
      <c r="E122" s="139" t="s">
        <v>1332</v>
      </c>
      <c r="F122" s="131" t="s">
        <v>1333</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1352</v>
      </c>
      <c r="C124" s="181" t="s">
        <v>1293</v>
      </c>
      <c r="D124" s="181" t="s">
        <v>1294</v>
      </c>
      <c r="E124" s="181" t="s">
        <v>1295</v>
      </c>
      <c r="F124" s="181" t="s">
        <v>1296</v>
      </c>
      <c r="G124" s="181" t="s">
        <v>1297</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1353</v>
      </c>
      <c r="B1" s="3160" t="s">
        <v>1354</v>
      </c>
      <c r="C1" s="3154" t="s">
        <v>1355</v>
      </c>
      <c r="D1" s="3145" t="s">
        <v>359</v>
      </c>
      <c r="E1" s="3150"/>
      <c r="F1" s="3147" t="s">
        <v>3098</v>
      </c>
      <c r="G1" s="3149" t="s">
        <v>1356</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1357</v>
      </c>
      <c r="B2" s="2883" t="e">
        <f ca="1">IF(C2="——",ROUND(B3*D3/10000,0),ROUND(B3*D3/10000,0)-D2)</f>
        <v>#DIV/0!</v>
      </c>
      <c r="C2" s="3139" t="s">
        <v>3100</v>
      </c>
      <c r="D2" s="2760" t="e">
        <f ca="1">SUMIF(INDIRECT("'"&amp;F2&amp;"'"&amp;"!A:A"),"承租人权益价值",INDIRECT("'"&amp;F2&amp;"'"&amp;"!c:c"))</f>
        <v>#N/A</v>
      </c>
      <c r="E2" s="3140" t="s">
        <v>1105</v>
      </c>
      <c r="F2" s="3141" t="s">
        <v>3072</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39"/>
    </row>
    <row r="3" spans="1:29" s="90" customFormat="1" ht="28.5" customHeight="1" thickBot="1">
      <c r="A3" s="87" t="s">
        <v>1358</v>
      </c>
      <c r="B3" s="956" t="e">
        <f>C50</f>
        <v>#DIV/0!</v>
      </c>
      <c r="C3" s="142" t="s">
        <v>1359</v>
      </c>
      <c r="D3" s="746">
        <f>IF(D1="",'数据-汇总表'!E3,SUMIF('数据-汇总表'!$C19:$C33,D1,'数据-汇总表'!$E19:$E33))</f>
        <v>0</v>
      </c>
      <c r="E3" s="2343"/>
      <c r="F3" s="2344"/>
      <c r="G3" s="2345"/>
      <c r="H3" s="2345"/>
      <c r="I3" s="2345"/>
      <c r="J3" s="2345"/>
      <c r="K3" s="2348"/>
      <c r="L3" s="2346"/>
      <c r="M3" s="2347"/>
      <c r="N3" s="2347"/>
      <c r="O3" s="2347"/>
      <c r="P3" s="1338"/>
      <c r="Q3" s="1338"/>
      <c r="R3" s="1338"/>
      <c r="S3" s="1338"/>
      <c r="T3" s="1338"/>
      <c r="U3" s="1338"/>
      <c r="V3" s="1338"/>
      <c r="W3" s="1338"/>
      <c r="X3" s="1338"/>
      <c r="Y3" s="1338"/>
      <c r="Z3" s="1338"/>
      <c r="AA3" s="1338"/>
      <c r="AB3" s="1338"/>
      <c r="AC3" s="1339"/>
    </row>
    <row r="4" spans="1:29">
      <c r="A4" s="143" t="s">
        <v>1360</v>
      </c>
      <c r="B4" s="144"/>
      <c r="C4" s="3680" t="s">
        <v>1361</v>
      </c>
      <c r="D4" s="3681"/>
      <c r="E4" s="3682" t="s">
        <v>1362</v>
      </c>
      <c r="F4" s="3683"/>
      <c r="G4" s="3680" t="s">
        <v>1363</v>
      </c>
      <c r="H4" s="3681"/>
      <c r="I4" s="3680" t="s">
        <v>1364</v>
      </c>
      <c r="J4" s="3681"/>
      <c r="K4" s="187" t="s">
        <v>1365</v>
      </c>
      <c r="L4" s="2322"/>
      <c r="M4" s="2323"/>
      <c r="N4" s="2323"/>
      <c r="O4" s="2323"/>
      <c r="P4" s="3737" t="s">
        <v>1360</v>
      </c>
      <c r="Q4" s="3738"/>
      <c r="R4" s="3732" t="s">
        <v>1362</v>
      </c>
      <c r="S4" s="3733"/>
      <c r="T4" s="3732" t="s">
        <v>1363</v>
      </c>
      <c r="U4" s="3733"/>
      <c r="V4" s="3741" t="s">
        <v>1364</v>
      </c>
      <c r="W4" s="3741"/>
      <c r="X4" s="2362"/>
      <c r="Y4" s="3732" t="s">
        <v>1360</v>
      </c>
      <c r="Z4" s="3733"/>
      <c r="AA4" s="3731" t="s">
        <v>1362</v>
      </c>
      <c r="AB4" s="3731" t="s">
        <v>1363</v>
      </c>
      <c r="AC4" s="3734" t="s">
        <v>1364</v>
      </c>
    </row>
    <row r="5" spans="1:29">
      <c r="A5" s="146"/>
      <c r="B5" s="147"/>
      <c r="C5" s="3631" t="s">
        <v>1366</v>
      </c>
      <c r="D5" s="3632"/>
      <c r="E5" s="3629" t="s">
        <v>1367</v>
      </c>
      <c r="F5" s="3630"/>
      <c r="G5" s="3631" t="s">
        <v>1368</v>
      </c>
      <c r="H5" s="3632"/>
      <c r="I5" s="3631" t="s">
        <v>1369</v>
      </c>
      <c r="J5" s="3632"/>
      <c r="K5" s="187"/>
      <c r="L5" s="2322"/>
      <c r="M5" s="2323"/>
      <c r="N5" s="2323"/>
      <c r="O5" s="2323"/>
      <c r="P5" s="3739"/>
      <c r="Q5" s="3687"/>
      <c r="R5" s="3675"/>
      <c r="S5" s="3676"/>
      <c r="T5" s="3675"/>
      <c r="U5" s="3676"/>
      <c r="V5" s="3692"/>
      <c r="W5" s="3692"/>
      <c r="X5" s="2248"/>
      <c r="Y5" s="3675"/>
      <c r="Z5" s="3676"/>
      <c r="AA5" s="3669"/>
      <c r="AB5" s="3669"/>
      <c r="AC5" s="3735"/>
    </row>
    <row r="6" spans="1:29" ht="14.25" thickBot="1">
      <c r="A6" s="148"/>
      <c r="B6" s="149"/>
      <c r="C6" s="3633" t="s">
        <v>1370</v>
      </c>
      <c r="D6" s="3634"/>
      <c r="E6" s="3677" t="s">
        <v>1370</v>
      </c>
      <c r="F6" s="3678"/>
      <c r="G6" s="3633" t="s">
        <v>1370</v>
      </c>
      <c r="H6" s="3634"/>
      <c r="I6" s="3633" t="s">
        <v>1370</v>
      </c>
      <c r="J6" s="3634"/>
      <c r="K6" s="187" t="s">
        <v>1371</v>
      </c>
      <c r="L6" s="2322"/>
      <c r="M6" s="2323"/>
      <c r="N6" s="2323"/>
      <c r="O6" s="2323"/>
      <c r="P6" s="3740"/>
      <c r="Q6" s="3689"/>
      <c r="R6" s="3675"/>
      <c r="S6" s="3676"/>
      <c r="T6" s="3690"/>
      <c r="U6" s="3691"/>
      <c r="V6" s="3692"/>
      <c r="W6" s="3692"/>
      <c r="X6" s="2248"/>
      <c r="Y6" s="3690"/>
      <c r="Z6" s="3691"/>
      <c r="AA6" s="3670"/>
      <c r="AB6" s="3670"/>
      <c r="AC6" s="3736"/>
    </row>
    <row r="7" spans="1:29" s="40" customFormat="1" ht="15" thickBot="1">
      <c r="A7" s="1018" t="s">
        <v>1372</v>
      </c>
      <c r="B7" s="1019"/>
      <c r="C7" s="757">
        <f>'数据-取费表'!B2</f>
        <v>42959</v>
      </c>
      <c r="D7" s="758">
        <v>100</v>
      </c>
      <c r="E7" s="1021">
        <v>42007</v>
      </c>
      <c r="F7" s="760">
        <f>SUMIF(59:59,YEAR(E7)&amp;"-"&amp;MONTH(E7),60:60)</f>
        <v>0</v>
      </c>
      <c r="G7" s="1022">
        <v>41918</v>
      </c>
      <c r="H7" s="758">
        <f>SUMIF(59:59,YEAR(G7)&amp;"-"&amp;MONTH(G7),60:60)</f>
        <v>0</v>
      </c>
      <c r="I7" s="1022">
        <v>42003</v>
      </c>
      <c r="J7" s="758">
        <f>SUMIF(59:59,YEAR(I7)&amp;"-"&amp;MONTH(I7),60:60)</f>
        <v>0</v>
      </c>
      <c r="K7" s="1023"/>
      <c r="L7" s="2324"/>
      <c r="M7" s="2286"/>
      <c r="N7" s="2286"/>
      <c r="O7" s="2286"/>
      <c r="P7" s="3742" t="s">
        <v>1372</v>
      </c>
      <c r="Q7" s="3693"/>
      <c r="R7" s="1346" t="s">
        <v>70</v>
      </c>
      <c r="S7" s="1347">
        <f t="shared" ref="S7:S15" si="0">F7</f>
        <v>0</v>
      </c>
      <c r="T7" s="1346" t="s">
        <v>70</v>
      </c>
      <c r="U7" s="1347">
        <f t="shared" ref="U7:U15" si="1">H7</f>
        <v>0</v>
      </c>
      <c r="V7" s="1346" t="s">
        <v>70</v>
      </c>
      <c r="W7" s="1347">
        <f t="shared" ref="W7:W15" si="2">J7</f>
        <v>0</v>
      </c>
      <c r="X7" s="293"/>
      <c r="Y7" s="3671" t="s">
        <v>1372</v>
      </c>
      <c r="Z7" s="3672"/>
      <c r="AA7" s="1348" t="e">
        <f>D7/F7</f>
        <v>#DIV/0!</v>
      </c>
      <c r="AB7" s="1348" t="e">
        <f>D7/H7</f>
        <v>#DIV/0!</v>
      </c>
      <c r="AC7" s="2363" t="e">
        <f>D7/J7</f>
        <v>#DIV/0!</v>
      </c>
    </row>
    <row r="8" spans="1:29" s="40" customFormat="1" ht="15" thickBot="1">
      <c r="A8" s="1018" t="s">
        <v>1373</v>
      </c>
      <c r="B8" s="1019"/>
      <c r="C8" s="1024" t="s">
        <v>1374</v>
      </c>
      <c r="D8" s="758">
        <v>100</v>
      </c>
      <c r="E8" s="1024" t="s">
        <v>258</v>
      </c>
      <c r="F8" s="760">
        <f>SUMIF(62:62,E8,63:63)-SUMIF(62:62,C8,63:63)+100</f>
        <v>99</v>
      </c>
      <c r="G8" s="1024" t="s">
        <v>1257</v>
      </c>
      <c r="H8" s="758">
        <f>SUMIF(62:62,G8,63:63)-SUMIF(62:62,C8,63:63)+100</f>
        <v>100</v>
      </c>
      <c r="I8" s="1024" t="s">
        <v>1257</v>
      </c>
      <c r="J8" s="758">
        <f>SUMIF(62:62,I8,63:63)-SUMIF(62:62,C8,63:63)+100</f>
        <v>100</v>
      </c>
      <c r="K8" s="1023"/>
      <c r="L8" s="2324"/>
      <c r="M8" s="2286"/>
      <c r="N8" s="2286"/>
      <c r="O8" s="2286"/>
      <c r="P8" s="3742" t="s">
        <v>1258</v>
      </c>
      <c r="Q8" s="3672"/>
      <c r="R8" s="1346" t="s">
        <v>70</v>
      </c>
      <c r="S8" s="1347">
        <f t="shared" si="0"/>
        <v>99</v>
      </c>
      <c r="T8" s="1346" t="s">
        <v>70</v>
      </c>
      <c r="U8" s="1347">
        <f t="shared" si="1"/>
        <v>100</v>
      </c>
      <c r="V8" s="1346" t="s">
        <v>70</v>
      </c>
      <c r="W8" s="1347">
        <f t="shared" si="2"/>
        <v>100</v>
      </c>
      <c r="X8" s="293"/>
      <c r="Y8" s="3671" t="s">
        <v>1258</v>
      </c>
      <c r="Z8" s="3672"/>
      <c r="AA8" s="1348">
        <f t="shared" ref="AA8:AA47" si="3">D8/F8</f>
        <v>1.0101010101010102</v>
      </c>
      <c r="AB8" s="1348">
        <f t="shared" ref="AB8:AB47" si="4">D8/H8</f>
        <v>1</v>
      </c>
      <c r="AC8" s="2363">
        <f t="shared" ref="AC8:AC47" si="5">D8/J8</f>
        <v>1</v>
      </c>
    </row>
    <row r="9" spans="1:29" s="40" customFormat="1" ht="14.25">
      <c r="A9" s="1025" t="s">
        <v>1259</v>
      </c>
      <c r="B9" s="62" t="s">
        <v>1260</v>
      </c>
      <c r="C9" s="1350" t="s">
        <v>1375</v>
      </c>
      <c r="D9" s="429">
        <v>100</v>
      </c>
      <c r="E9" s="1352" t="s">
        <v>209</v>
      </c>
      <c r="F9" s="429">
        <f>SUMIF(64:64,E9,65:65)-SUMIF(64:64,C9,65:65)+100</f>
        <v>100</v>
      </c>
      <c r="G9" s="1351" t="s">
        <v>279</v>
      </c>
      <c r="H9" s="429">
        <f>SUMIF(64:64,G9,65:65)-SUMIF(64:64,C9,65:65)+100</f>
        <v>95</v>
      </c>
      <c r="I9" s="1351" t="s">
        <v>209</v>
      </c>
      <c r="J9" s="429">
        <f>SUMIF(64:64,I9,65:65)-SUMIF(64:64,C9,65:65)+100</f>
        <v>100</v>
      </c>
      <c r="K9" s="1023"/>
      <c r="L9" s="2324"/>
      <c r="M9" s="2286"/>
      <c r="N9" s="2286"/>
      <c r="O9" s="2286"/>
      <c r="P9" s="3679" t="s">
        <v>72</v>
      </c>
      <c r="Q9" s="2236" t="str">
        <f t="shared" ref="Q9:Q15" si="6">B9</f>
        <v>用途</v>
      </c>
      <c r="R9" s="1346" t="s">
        <v>70</v>
      </c>
      <c r="S9" s="1347">
        <f t="shared" si="0"/>
        <v>100</v>
      </c>
      <c r="T9" s="1346" t="s">
        <v>70</v>
      </c>
      <c r="U9" s="1347">
        <f t="shared" si="1"/>
        <v>95</v>
      </c>
      <c r="V9" s="1346" t="s">
        <v>70</v>
      </c>
      <c r="W9" s="1347">
        <f t="shared" si="2"/>
        <v>100</v>
      </c>
      <c r="X9" s="293"/>
      <c r="Y9" s="3491" t="s">
        <v>72</v>
      </c>
      <c r="Z9" s="2235" t="str">
        <f t="shared" ref="Z9:Z15" si="7">Q9</f>
        <v>用途</v>
      </c>
      <c r="AA9" s="1348">
        <f t="shared" si="3"/>
        <v>1</v>
      </c>
      <c r="AB9" s="1348">
        <f t="shared" si="4"/>
        <v>1.0526315789473684</v>
      </c>
      <c r="AC9" s="2363">
        <f t="shared" si="5"/>
        <v>1</v>
      </c>
    </row>
    <row r="10" spans="1:29" s="92" customFormat="1" ht="27">
      <c r="A10" s="150"/>
      <c r="B10" s="12" t="s">
        <v>125</v>
      </c>
      <c r="C10" s="1353" t="s">
        <v>285</v>
      </c>
      <c r="D10" s="430">
        <v>100</v>
      </c>
      <c r="E10" s="1353" t="s">
        <v>286</v>
      </c>
      <c r="F10" s="430">
        <f>SUMIF(66:66,E10,67:67)-SUMIF(66:66,C10,67:67)+100</f>
        <v>99</v>
      </c>
      <c r="G10" s="1354" t="s">
        <v>287</v>
      </c>
      <c r="H10" s="430">
        <f>SUMIF(66:66,G10,67:67)-SUMIF(66:66,C10,67:67)+100</f>
        <v>98</v>
      </c>
      <c r="I10" s="1353" t="s">
        <v>288</v>
      </c>
      <c r="J10" s="430">
        <f>SUMIF(66:66,I10,67:67)-SUMIF(66:66,C10,67:67)+100</f>
        <v>97</v>
      </c>
      <c r="K10" s="959">
        <v>1</v>
      </c>
      <c r="L10" s="2325"/>
      <c r="M10" s="2326"/>
      <c r="N10" s="2326"/>
      <c r="O10" s="2326"/>
      <c r="P10" s="3679"/>
      <c r="Q10" s="2236" t="str">
        <f t="shared" si="6"/>
        <v>土地使用年限（年）</v>
      </c>
      <c r="R10" s="1346" t="s">
        <v>70</v>
      </c>
      <c r="S10" s="1347">
        <f t="shared" si="0"/>
        <v>99</v>
      </c>
      <c r="T10" s="1346" t="s">
        <v>70</v>
      </c>
      <c r="U10" s="1347">
        <f t="shared" si="1"/>
        <v>98</v>
      </c>
      <c r="V10" s="1346" t="s">
        <v>70</v>
      </c>
      <c r="W10" s="1347">
        <f t="shared" si="2"/>
        <v>97</v>
      </c>
      <c r="X10" s="293"/>
      <c r="Y10" s="3491"/>
      <c r="Z10" s="2235" t="str">
        <f t="shared" si="7"/>
        <v>土地使用年限（年）</v>
      </c>
      <c r="AA10" s="1348">
        <f t="shared" si="3"/>
        <v>1.0101010101010102</v>
      </c>
      <c r="AB10" s="1348">
        <f t="shared" si="4"/>
        <v>1.0204081632653061</v>
      </c>
      <c r="AC10" s="2363">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7"/>
      <c r="M11" s="2323"/>
      <c r="N11" s="2323"/>
      <c r="O11" s="2323"/>
      <c r="P11" s="3679"/>
      <c r="Q11" s="2236" t="str">
        <f t="shared" si="6"/>
        <v>容积率</v>
      </c>
      <c r="R11" s="1346" t="s">
        <v>70</v>
      </c>
      <c r="S11" s="1347">
        <f t="shared" si="0"/>
        <v>97</v>
      </c>
      <c r="T11" s="1346" t="s">
        <v>70</v>
      </c>
      <c r="U11" s="1347">
        <f t="shared" si="1"/>
        <v>94</v>
      </c>
      <c r="V11" s="1346" t="s">
        <v>70</v>
      </c>
      <c r="W11" s="1347">
        <f t="shared" si="2"/>
        <v>91</v>
      </c>
      <c r="X11" s="293"/>
      <c r="Y11" s="3491"/>
      <c r="Z11" s="2235" t="str">
        <f t="shared" si="7"/>
        <v>容积率</v>
      </c>
      <c r="AA11" s="1348">
        <f t="shared" si="3"/>
        <v>1.0309278350515463</v>
      </c>
      <c r="AB11" s="1348">
        <f t="shared" si="4"/>
        <v>1.0638297872340425</v>
      </c>
      <c r="AC11" s="2363">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4"/>
      <c r="M12" s="2286"/>
      <c r="N12" s="2286"/>
      <c r="O12" s="2286"/>
      <c r="P12" s="3679"/>
      <c r="Q12" s="2236">
        <f t="shared" si="6"/>
        <v>111</v>
      </c>
      <c r="R12" s="1346" t="s">
        <v>70</v>
      </c>
      <c r="S12" s="1347">
        <f t="shared" si="0"/>
        <v>100</v>
      </c>
      <c r="T12" s="1346" t="s">
        <v>70</v>
      </c>
      <c r="U12" s="1347">
        <f t="shared" si="1"/>
        <v>100</v>
      </c>
      <c r="V12" s="1346" t="s">
        <v>70</v>
      </c>
      <c r="W12" s="1347">
        <f t="shared" si="2"/>
        <v>100</v>
      </c>
      <c r="X12" s="293"/>
      <c r="Y12" s="3491"/>
      <c r="Z12" s="2235">
        <f t="shared" si="7"/>
        <v>111</v>
      </c>
      <c r="AA12" s="1348">
        <f>D12/F12</f>
        <v>1</v>
      </c>
      <c r="AB12" s="1348">
        <f>D12/H12</f>
        <v>1</v>
      </c>
      <c r="AC12" s="2363">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8"/>
      <c r="M13" s="2323"/>
      <c r="N13" s="2323"/>
      <c r="O13" s="2323"/>
      <c r="P13" s="3679"/>
      <c r="Q13" s="2236">
        <f t="shared" si="6"/>
        <v>111</v>
      </c>
      <c r="R13" s="1346" t="s">
        <v>70</v>
      </c>
      <c r="S13" s="1347">
        <f t="shared" si="0"/>
        <v>100</v>
      </c>
      <c r="T13" s="1346" t="s">
        <v>70</v>
      </c>
      <c r="U13" s="1347">
        <f t="shared" si="1"/>
        <v>100</v>
      </c>
      <c r="V13" s="1346" t="s">
        <v>70</v>
      </c>
      <c r="W13" s="1347">
        <f t="shared" si="2"/>
        <v>100</v>
      </c>
      <c r="X13" s="293"/>
      <c r="Y13" s="3491"/>
      <c r="Z13" s="2235">
        <f t="shared" si="7"/>
        <v>111</v>
      </c>
      <c r="AA13" s="1348">
        <f t="shared" si="3"/>
        <v>1</v>
      </c>
      <c r="AB13" s="1348">
        <f t="shared" si="4"/>
        <v>1</v>
      </c>
      <c r="AC13" s="2363">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8"/>
      <c r="M14" s="2323"/>
      <c r="N14" s="2323"/>
      <c r="O14" s="2323"/>
      <c r="P14" s="3679"/>
      <c r="Q14" s="2236">
        <f t="shared" si="6"/>
        <v>111</v>
      </c>
      <c r="R14" s="1346" t="s">
        <v>70</v>
      </c>
      <c r="S14" s="1347">
        <f t="shared" si="0"/>
        <v>100</v>
      </c>
      <c r="T14" s="1346" t="s">
        <v>70</v>
      </c>
      <c r="U14" s="1347">
        <f t="shared" si="1"/>
        <v>100</v>
      </c>
      <c r="V14" s="1346" t="s">
        <v>70</v>
      </c>
      <c r="W14" s="1347">
        <f t="shared" si="2"/>
        <v>100</v>
      </c>
      <c r="X14" s="293"/>
      <c r="Y14" s="3491"/>
      <c r="Z14" s="2235">
        <f t="shared" si="7"/>
        <v>111</v>
      </c>
      <c r="AA14" s="1348">
        <f t="shared" si="3"/>
        <v>1</v>
      </c>
      <c r="AB14" s="1348">
        <f t="shared" si="4"/>
        <v>1</v>
      </c>
      <c r="AC14" s="2363">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8"/>
      <c r="M15" s="2323"/>
      <c r="N15" s="2323"/>
      <c r="O15" s="2323"/>
      <c r="P15" s="3706" t="s">
        <v>74</v>
      </c>
      <c r="Q15" s="2246" t="str">
        <f t="shared" si="6"/>
        <v>办公集聚程度</v>
      </c>
      <c r="R15" s="1356" t="s">
        <v>70</v>
      </c>
      <c r="S15" s="1357">
        <f t="shared" si="0"/>
        <v>101.5</v>
      </c>
      <c r="T15" s="1356" t="s">
        <v>70</v>
      </c>
      <c r="U15" s="1357">
        <f t="shared" si="1"/>
        <v>103</v>
      </c>
      <c r="V15" s="1356" t="s">
        <v>70</v>
      </c>
      <c r="W15" s="1357">
        <f t="shared" si="2"/>
        <v>97</v>
      </c>
      <c r="X15" s="2248"/>
      <c r="Y15" s="3699" t="s">
        <v>74</v>
      </c>
      <c r="Z15" s="2247" t="str">
        <f t="shared" si="7"/>
        <v>办公集聚程度</v>
      </c>
      <c r="AA15" s="1359">
        <f t="shared" si="3"/>
        <v>0.98522167487684731</v>
      </c>
      <c r="AB15" s="1359">
        <f t="shared" si="4"/>
        <v>0.970873786407767</v>
      </c>
      <c r="AC15" s="2364">
        <f t="shared" si="5"/>
        <v>1.0309278350515463</v>
      </c>
    </row>
    <row r="16" spans="1:29" ht="14.25">
      <c r="A16" s="151"/>
      <c r="B16" s="209"/>
      <c r="C16" s="192" t="s">
        <v>124</v>
      </c>
      <c r="D16" s="796"/>
      <c r="E16" s="97" t="s">
        <v>123</v>
      </c>
      <c r="F16" s="796"/>
      <c r="G16" s="192" t="s">
        <v>122</v>
      </c>
      <c r="H16" s="798"/>
      <c r="I16" s="97" t="s">
        <v>183</v>
      </c>
      <c r="J16" s="796"/>
      <c r="K16" s="189"/>
      <c r="L16" s="2328"/>
      <c r="M16" s="2323"/>
      <c r="N16" s="2323"/>
      <c r="O16" s="2323"/>
      <c r="P16" s="3707"/>
      <c r="Q16" s="2246"/>
      <c r="R16" s="1356"/>
      <c r="S16" s="1357"/>
      <c r="T16" s="1356"/>
      <c r="U16" s="1357"/>
      <c r="V16" s="1356"/>
      <c r="W16" s="1357"/>
      <c r="X16" s="2248"/>
      <c r="Y16" s="3700"/>
      <c r="Z16" s="2247"/>
      <c r="AA16" s="1359">
        <v>1</v>
      </c>
      <c r="AB16" s="1359">
        <v>1</v>
      </c>
      <c r="AC16" s="2364">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8"/>
      <c r="M17" s="2323"/>
      <c r="N17" s="2323"/>
      <c r="O17" s="2323"/>
      <c r="P17" s="3707"/>
      <c r="Q17" s="2246" t="str">
        <f>B17</f>
        <v>交通便捷度</v>
      </c>
      <c r="R17" s="1356" t="s">
        <v>70</v>
      </c>
      <c r="S17" s="1357">
        <f>F17</f>
        <v>94</v>
      </c>
      <c r="T17" s="1356" t="s">
        <v>70</v>
      </c>
      <c r="U17" s="1357">
        <f>H17</f>
        <v>103</v>
      </c>
      <c r="V17" s="1356" t="s">
        <v>70</v>
      </c>
      <c r="W17" s="1357">
        <f>J17</f>
        <v>97</v>
      </c>
      <c r="X17" s="2248"/>
      <c r="Y17" s="3700"/>
      <c r="Z17" s="2247" t="str">
        <f>Q17</f>
        <v>交通便捷度</v>
      </c>
      <c r="AA17" s="1359">
        <f t="shared" si="3"/>
        <v>1.0638297872340425</v>
      </c>
      <c r="AB17" s="1359">
        <f t="shared" si="4"/>
        <v>0.970873786407767</v>
      </c>
      <c r="AC17" s="2364">
        <f t="shared" si="5"/>
        <v>1.0309278350515463</v>
      </c>
    </row>
    <row r="18" spans="1:29" ht="14.25">
      <c r="A18" s="151"/>
      <c r="B18" s="1039"/>
      <c r="C18" s="193" t="s">
        <v>124</v>
      </c>
      <c r="D18" s="798"/>
      <c r="E18" s="104" t="s">
        <v>183</v>
      </c>
      <c r="F18" s="798"/>
      <c r="G18" s="103" t="s">
        <v>123</v>
      </c>
      <c r="H18" s="796"/>
      <c r="I18" s="103" t="s">
        <v>153</v>
      </c>
      <c r="J18" s="796"/>
      <c r="K18" s="189"/>
      <c r="L18" s="2328"/>
      <c r="M18" s="2323"/>
      <c r="N18" s="2323"/>
      <c r="O18" s="2323"/>
      <c r="P18" s="3707"/>
      <c r="Q18" s="2246"/>
      <c r="R18" s="1356"/>
      <c r="S18" s="1357"/>
      <c r="T18" s="1356"/>
      <c r="U18" s="1357"/>
      <c r="V18" s="1356"/>
      <c r="W18" s="1357"/>
      <c r="X18" s="2248"/>
      <c r="Y18" s="3700"/>
      <c r="Z18" s="2247"/>
      <c r="AA18" s="1359">
        <v>1</v>
      </c>
      <c r="AB18" s="1359">
        <v>1</v>
      </c>
      <c r="AC18" s="2364">
        <v>1</v>
      </c>
    </row>
    <row r="19" spans="1:29" ht="40.5">
      <c r="A19" s="151"/>
      <c r="B19" s="1038" t="s">
        <v>3062</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8"/>
      <c r="M19" s="2323"/>
      <c r="N19" s="2323"/>
      <c r="O19" s="2323"/>
      <c r="P19" s="3707"/>
      <c r="Q19" s="2246" t="str">
        <f>B19</f>
        <v>公共配套设施</v>
      </c>
      <c r="R19" s="1356" t="s">
        <v>70</v>
      </c>
      <c r="S19" s="1357">
        <f>F19</f>
        <v>97.5</v>
      </c>
      <c r="T19" s="1356" t="s">
        <v>70</v>
      </c>
      <c r="U19" s="1357">
        <f>H19</f>
        <v>102.5</v>
      </c>
      <c r="V19" s="1356" t="s">
        <v>70</v>
      </c>
      <c r="W19" s="1357">
        <f>J19</f>
        <v>95</v>
      </c>
      <c r="X19" s="2248"/>
      <c r="Y19" s="3700"/>
      <c r="Z19" s="2247" t="str">
        <f>Q19</f>
        <v>公共配套设施</v>
      </c>
      <c r="AA19" s="1359">
        <f t="shared" si="3"/>
        <v>1.0256410256410255</v>
      </c>
      <c r="AB19" s="1359">
        <f t="shared" si="4"/>
        <v>0.97560975609756095</v>
      </c>
      <c r="AC19" s="2364">
        <f t="shared" si="5"/>
        <v>1.0526315789473684</v>
      </c>
    </row>
    <row r="20" spans="1:29" ht="14.25">
      <c r="A20" s="151"/>
      <c r="B20" s="1039"/>
      <c r="C20" s="192" t="s">
        <v>123</v>
      </c>
      <c r="D20" s="796"/>
      <c r="E20" s="99" t="s">
        <v>124</v>
      </c>
      <c r="F20" s="796"/>
      <c r="G20" s="98" t="s">
        <v>122</v>
      </c>
      <c r="H20" s="796"/>
      <c r="I20" s="98" t="s">
        <v>153</v>
      </c>
      <c r="J20" s="796"/>
      <c r="K20" s="189"/>
      <c r="L20" s="2328"/>
      <c r="M20" s="2323"/>
      <c r="N20" s="2323"/>
      <c r="O20" s="2323"/>
      <c r="P20" s="3707"/>
      <c r="Q20" s="2246"/>
      <c r="R20" s="1356"/>
      <c r="S20" s="1357"/>
      <c r="T20" s="1356"/>
      <c r="U20" s="1357"/>
      <c r="V20" s="1356"/>
      <c r="W20" s="1357"/>
      <c r="X20" s="2248"/>
      <c r="Y20" s="3700"/>
      <c r="Z20" s="2247"/>
      <c r="AA20" s="1359">
        <v>1</v>
      </c>
      <c r="AB20" s="1359">
        <v>1</v>
      </c>
      <c r="AC20" s="2364">
        <v>1</v>
      </c>
    </row>
    <row r="21" spans="1:29" ht="27">
      <c r="A21" s="151"/>
      <c r="B21" s="1040" t="s">
        <v>3063</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8"/>
      <c r="M21" s="2323"/>
      <c r="N21" s="2323"/>
      <c r="O21" s="2323"/>
      <c r="P21" s="3707"/>
      <c r="Q21" s="2782" t="str">
        <f>B21</f>
        <v>基础设施水平</v>
      </c>
      <c r="R21" s="1356" t="s">
        <v>70</v>
      </c>
      <c r="S21" s="1357">
        <f>F21</f>
        <v>98.5</v>
      </c>
      <c r="T21" s="1356" t="s">
        <v>70</v>
      </c>
      <c r="U21" s="1357">
        <f>H21</f>
        <v>97</v>
      </c>
      <c r="V21" s="1356" t="s">
        <v>70</v>
      </c>
      <c r="W21" s="1357">
        <f>J21</f>
        <v>95.5</v>
      </c>
      <c r="X21" s="2784"/>
      <c r="Y21" s="3700"/>
      <c r="Z21" s="2783" t="str">
        <f>Q21</f>
        <v>基础设施水平</v>
      </c>
      <c r="AA21" s="1359">
        <f t="shared" ref="AA21" si="8">D21/F21</f>
        <v>1.015228426395939</v>
      </c>
      <c r="AB21" s="1359">
        <f t="shared" ref="AB21" si="9">D21/H21</f>
        <v>1.0309278350515463</v>
      </c>
      <c r="AC21" s="2364">
        <f t="shared" ref="AC21" si="10">D21/J21</f>
        <v>1.0471204188481675</v>
      </c>
    </row>
    <row r="22" spans="1:29" ht="14.25">
      <c r="A22" s="151"/>
      <c r="B22" s="1040"/>
      <c r="C22" s="193" t="s">
        <v>56</v>
      </c>
      <c r="D22" s="796"/>
      <c r="E22" s="97" t="s">
        <v>161</v>
      </c>
      <c r="F22" s="796"/>
      <c r="G22" s="192" t="s">
        <v>162</v>
      </c>
      <c r="H22" s="796"/>
      <c r="I22" s="192" t="s">
        <v>257</v>
      </c>
      <c r="J22" s="796"/>
      <c r="K22" s="2802"/>
      <c r="L22" s="2328"/>
      <c r="M22" s="2323"/>
      <c r="N22" s="2323"/>
      <c r="O22" s="2323"/>
      <c r="P22" s="3707"/>
      <c r="Q22" s="2782"/>
      <c r="R22" s="1356"/>
      <c r="S22" s="1357"/>
      <c r="T22" s="1356"/>
      <c r="U22" s="1357"/>
      <c r="V22" s="1356"/>
      <c r="W22" s="1357"/>
      <c r="X22" s="2784"/>
      <c r="Y22" s="3700"/>
      <c r="Z22" s="2783"/>
      <c r="AA22" s="1359">
        <v>1</v>
      </c>
      <c r="AB22" s="1359">
        <v>1</v>
      </c>
      <c r="AC22" s="2364">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8"/>
      <c r="M23" s="2323"/>
      <c r="N23" s="2323"/>
      <c r="O23" s="2323"/>
      <c r="P23" s="3707"/>
      <c r="Q23" s="2246" t="str">
        <f>B23</f>
        <v>环境质量</v>
      </c>
      <c r="R23" s="1356" t="s">
        <v>70</v>
      </c>
      <c r="S23" s="1357">
        <f>F23</f>
        <v>98.5</v>
      </c>
      <c r="T23" s="1356" t="s">
        <v>70</v>
      </c>
      <c r="U23" s="1357">
        <f>H23</f>
        <v>103</v>
      </c>
      <c r="V23" s="1356" t="s">
        <v>70</v>
      </c>
      <c r="W23" s="1357">
        <f>J23</f>
        <v>101.5</v>
      </c>
      <c r="X23" s="2248"/>
      <c r="Y23" s="3700"/>
      <c r="Z23" s="2247" t="str">
        <f>Q23</f>
        <v>环境质量</v>
      </c>
      <c r="AA23" s="1359">
        <f t="shared" si="3"/>
        <v>1.015228426395939</v>
      </c>
      <c r="AB23" s="1359">
        <f t="shared" si="4"/>
        <v>0.970873786407767</v>
      </c>
      <c r="AC23" s="2364">
        <f t="shared" si="5"/>
        <v>0.98522167487684731</v>
      </c>
    </row>
    <row r="24" spans="1:29" ht="14.25">
      <c r="A24" s="151"/>
      <c r="B24" s="1040"/>
      <c r="C24" s="192" t="s">
        <v>124</v>
      </c>
      <c r="D24" s="796"/>
      <c r="E24" s="99" t="s">
        <v>153</v>
      </c>
      <c r="F24" s="796"/>
      <c r="G24" s="98" t="s">
        <v>122</v>
      </c>
      <c r="H24" s="796"/>
      <c r="I24" s="98" t="s">
        <v>123</v>
      </c>
      <c r="J24" s="796"/>
      <c r="K24" s="189"/>
      <c r="L24" s="2328"/>
      <c r="M24" s="2323"/>
      <c r="N24" s="2323"/>
      <c r="O24" s="2323"/>
      <c r="P24" s="3707"/>
      <c r="Q24" s="2246"/>
      <c r="R24" s="1356"/>
      <c r="S24" s="1357"/>
      <c r="T24" s="1356"/>
      <c r="U24" s="1357"/>
      <c r="V24" s="1356"/>
      <c r="W24" s="1357"/>
      <c r="X24" s="2248"/>
      <c r="Y24" s="3700"/>
      <c r="Z24" s="2247"/>
      <c r="AA24" s="1359">
        <v>1</v>
      </c>
      <c r="AB24" s="1359">
        <v>1</v>
      </c>
      <c r="AC24" s="2364">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8"/>
      <c r="M25" s="2323"/>
      <c r="N25" s="2323"/>
      <c r="O25" s="2323"/>
      <c r="P25" s="3707"/>
      <c r="Q25" s="2246" t="str">
        <f>B25</f>
        <v>毗邻道路的类型与等级</v>
      </c>
      <c r="R25" s="1356" t="s">
        <v>70</v>
      </c>
      <c r="S25" s="1357">
        <f>F25</f>
        <v>98.5</v>
      </c>
      <c r="T25" s="1356" t="s">
        <v>70</v>
      </c>
      <c r="U25" s="1357">
        <f>H25</f>
        <v>97</v>
      </c>
      <c r="V25" s="1356" t="s">
        <v>70</v>
      </c>
      <c r="W25" s="1357">
        <f>J25</f>
        <v>95.5</v>
      </c>
      <c r="X25" s="2248"/>
      <c r="Y25" s="3700"/>
      <c r="Z25" s="2247" t="str">
        <f>Q25</f>
        <v>毗邻道路的类型与等级</v>
      </c>
      <c r="AA25" s="1359">
        <f t="shared" si="3"/>
        <v>1.015228426395939</v>
      </c>
      <c r="AB25" s="1359">
        <f t="shared" si="4"/>
        <v>1.0309278350515463</v>
      </c>
      <c r="AC25" s="2364">
        <f t="shared" si="5"/>
        <v>1.0471204188481675</v>
      </c>
    </row>
    <row r="26" spans="1:29" ht="14.25">
      <c r="A26" s="146"/>
      <c r="B26" s="1039"/>
      <c r="C26" s="195" t="s">
        <v>223</v>
      </c>
      <c r="D26" s="783"/>
      <c r="E26" s="182" t="s">
        <v>225</v>
      </c>
      <c r="F26" s="783"/>
      <c r="G26" s="195" t="s">
        <v>256</v>
      </c>
      <c r="H26" s="783"/>
      <c r="I26" s="182" t="s">
        <v>264</v>
      </c>
      <c r="J26" s="783"/>
      <c r="K26" s="189"/>
      <c r="L26" s="2328"/>
      <c r="M26" s="2323"/>
      <c r="N26" s="2323"/>
      <c r="O26" s="2323"/>
      <c r="P26" s="3707"/>
      <c r="Q26" s="2246"/>
      <c r="R26" s="1356"/>
      <c r="S26" s="1357"/>
      <c r="T26" s="1356"/>
      <c r="U26" s="1357"/>
      <c r="V26" s="1356"/>
      <c r="W26" s="1357"/>
      <c r="X26" s="2248"/>
      <c r="Y26" s="3700"/>
      <c r="Z26" s="2247"/>
      <c r="AA26" s="1359">
        <v>1</v>
      </c>
      <c r="AB26" s="1359">
        <v>1</v>
      </c>
      <c r="AC26" s="2364">
        <v>1</v>
      </c>
    </row>
    <row r="27" spans="1:29" ht="15">
      <c r="A27" s="151"/>
      <c r="B27" s="1039" t="s">
        <v>1376</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8"/>
      <c r="M27" s="2323"/>
      <c r="N27" s="2323"/>
      <c r="O27" s="2323"/>
      <c r="P27" s="3707"/>
      <c r="Q27" s="2246" t="str">
        <f t="shared" ref="Q27:Q47" si="11">B27</f>
        <v>楼层</v>
      </c>
      <c r="R27" s="1356" t="s">
        <v>70</v>
      </c>
      <c r="S27" s="1357">
        <f>F27</f>
        <v>94</v>
      </c>
      <c r="T27" s="1356" t="s">
        <v>70</v>
      </c>
      <c r="U27" s="1357">
        <f>H27</f>
        <v>97</v>
      </c>
      <c r="V27" s="1356" t="s">
        <v>70</v>
      </c>
      <c r="W27" s="1357">
        <f>J27</f>
        <v>100</v>
      </c>
      <c r="X27" s="2248"/>
      <c r="Y27" s="3700"/>
      <c r="Z27" s="2247" t="str">
        <f>Q27</f>
        <v>楼层</v>
      </c>
      <c r="AA27" s="1359">
        <f t="shared" si="3"/>
        <v>1.0638297872340425</v>
      </c>
      <c r="AB27" s="1359">
        <f t="shared" si="4"/>
        <v>1.0309278350515463</v>
      </c>
      <c r="AC27" s="2364">
        <f t="shared" si="5"/>
        <v>1</v>
      </c>
    </row>
    <row r="28" spans="1:29" s="40" customFormat="1" ht="15">
      <c r="A28" s="1034"/>
      <c r="B28" s="1038" t="s">
        <v>213</v>
      </c>
      <c r="C28" s="1409" t="s">
        <v>299</v>
      </c>
      <c r="D28" s="810">
        <v>100</v>
      </c>
      <c r="E28" s="1391" t="s">
        <v>300</v>
      </c>
      <c r="F28" s="810">
        <f>SUMIF(91:91,E28,92:92)-SUMIF(91:91,C28,92:92)+100</f>
        <v>97</v>
      </c>
      <c r="G28" s="1409" t="s">
        <v>301</v>
      </c>
      <c r="H28" s="810">
        <f>SUMIF(91:91,G28,92:92)-SUMIF(91:91,C28,92:92)+100</f>
        <v>94</v>
      </c>
      <c r="I28" s="1391" t="s">
        <v>302</v>
      </c>
      <c r="J28" s="810">
        <f>SUMIF(91:91,I28,92:92)-SUMIF(91:91,C28,92:92)+100</f>
        <v>91</v>
      </c>
      <c r="K28" s="959">
        <v>3</v>
      </c>
      <c r="L28" s="2324"/>
      <c r="M28" s="2286"/>
      <c r="N28" s="2286"/>
      <c r="O28" s="2286"/>
      <c r="P28" s="3707"/>
      <c r="Q28" s="2236" t="str">
        <f t="shared" si="11"/>
        <v>朝向</v>
      </c>
      <c r="R28" s="1346" t="s">
        <v>70</v>
      </c>
      <c r="S28" s="1347">
        <f>F28</f>
        <v>97</v>
      </c>
      <c r="T28" s="1346" t="s">
        <v>70</v>
      </c>
      <c r="U28" s="1347">
        <f>H28</f>
        <v>94</v>
      </c>
      <c r="V28" s="1346" t="s">
        <v>70</v>
      </c>
      <c r="W28" s="1347">
        <f>J28</f>
        <v>91</v>
      </c>
      <c r="X28" s="293"/>
      <c r="Y28" s="3700"/>
      <c r="Z28" s="2235" t="str">
        <f>Q28</f>
        <v>朝向</v>
      </c>
      <c r="AA28" s="1359">
        <f>D28/F28</f>
        <v>1.0309278350515463</v>
      </c>
      <c r="AB28" s="1359">
        <f>D28/H28</f>
        <v>1.0638297872340425</v>
      </c>
      <c r="AC28" s="2364">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8"/>
      <c r="M29" s="2323"/>
      <c r="N29" s="2323"/>
      <c r="O29" s="2323"/>
      <c r="P29" s="3707"/>
      <c r="Q29" s="2246">
        <f t="shared" si="11"/>
        <v>111</v>
      </c>
      <c r="R29" s="1356" t="s">
        <v>70</v>
      </c>
      <c r="S29" s="1357">
        <f t="shared" ref="S29:S47" si="12">F29</f>
        <v>100</v>
      </c>
      <c r="T29" s="1356" t="s">
        <v>70</v>
      </c>
      <c r="U29" s="1357">
        <f t="shared" ref="U29:U47" si="13">H29</f>
        <v>100</v>
      </c>
      <c r="V29" s="1356" t="s">
        <v>70</v>
      </c>
      <c r="W29" s="1357">
        <f t="shared" ref="W29:W47" si="14">J29</f>
        <v>100</v>
      </c>
      <c r="X29" s="2248"/>
      <c r="Y29" s="3700"/>
      <c r="Z29" s="2247">
        <f t="shared" ref="Z29:Z47" si="15">Q29</f>
        <v>111</v>
      </c>
      <c r="AA29" s="1359">
        <f t="shared" si="3"/>
        <v>1</v>
      </c>
      <c r="AB29" s="1359">
        <f t="shared" si="4"/>
        <v>1</v>
      </c>
      <c r="AC29" s="2364">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8"/>
      <c r="M30" s="2323"/>
      <c r="N30" s="2323"/>
      <c r="O30" s="2323"/>
      <c r="P30" s="3707"/>
      <c r="Q30" s="2246">
        <f t="shared" si="11"/>
        <v>111</v>
      </c>
      <c r="R30" s="1356" t="s">
        <v>70</v>
      </c>
      <c r="S30" s="1357">
        <f t="shared" si="12"/>
        <v>100</v>
      </c>
      <c r="T30" s="1356" t="s">
        <v>70</v>
      </c>
      <c r="U30" s="1357">
        <f t="shared" si="13"/>
        <v>100</v>
      </c>
      <c r="V30" s="1356" t="s">
        <v>70</v>
      </c>
      <c r="W30" s="1357">
        <f t="shared" si="14"/>
        <v>100</v>
      </c>
      <c r="X30" s="2248"/>
      <c r="Y30" s="3700"/>
      <c r="Z30" s="2247">
        <f t="shared" si="15"/>
        <v>111</v>
      </c>
      <c r="AA30" s="1359">
        <f t="shared" si="3"/>
        <v>1</v>
      </c>
      <c r="AB30" s="1359">
        <f t="shared" si="4"/>
        <v>1</v>
      </c>
      <c r="AC30" s="2364">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8"/>
      <c r="M31" s="2323"/>
      <c r="N31" s="2323"/>
      <c r="O31" s="2323"/>
      <c r="P31" s="3707"/>
      <c r="Q31" s="2246">
        <f t="shared" si="11"/>
        <v>111</v>
      </c>
      <c r="R31" s="1356" t="s">
        <v>70</v>
      </c>
      <c r="S31" s="1357">
        <f t="shared" si="12"/>
        <v>100</v>
      </c>
      <c r="T31" s="1356" t="s">
        <v>70</v>
      </c>
      <c r="U31" s="1357">
        <f t="shared" si="13"/>
        <v>100</v>
      </c>
      <c r="V31" s="1356" t="s">
        <v>70</v>
      </c>
      <c r="W31" s="1357">
        <f t="shared" si="14"/>
        <v>100</v>
      </c>
      <c r="X31" s="2248"/>
      <c r="Y31" s="3700"/>
      <c r="Z31" s="2247">
        <f t="shared" si="15"/>
        <v>111</v>
      </c>
      <c r="AA31" s="1359">
        <f t="shared" si="3"/>
        <v>1</v>
      </c>
      <c r="AB31" s="1359">
        <f t="shared" si="4"/>
        <v>1</v>
      </c>
      <c r="AC31" s="2364">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8"/>
      <c r="M32" s="2323"/>
      <c r="N32" s="2323"/>
      <c r="O32" s="2323"/>
      <c r="P32" s="3707"/>
      <c r="Q32" s="2246">
        <f t="shared" si="11"/>
        <v>111</v>
      </c>
      <c r="R32" s="1356" t="s">
        <v>70</v>
      </c>
      <c r="S32" s="1357">
        <f t="shared" si="12"/>
        <v>100</v>
      </c>
      <c r="T32" s="1356" t="s">
        <v>70</v>
      </c>
      <c r="U32" s="1357">
        <f t="shared" si="13"/>
        <v>100</v>
      </c>
      <c r="V32" s="1356" t="s">
        <v>70</v>
      </c>
      <c r="W32" s="1357">
        <f t="shared" si="14"/>
        <v>100</v>
      </c>
      <c r="X32" s="2248"/>
      <c r="Y32" s="3700"/>
      <c r="Z32" s="2247">
        <f t="shared" si="15"/>
        <v>111</v>
      </c>
      <c r="AA32" s="1359">
        <f t="shared" si="3"/>
        <v>1</v>
      </c>
      <c r="AB32" s="1359">
        <f t="shared" si="4"/>
        <v>1</v>
      </c>
      <c r="AC32" s="2364">
        <f t="shared" si="5"/>
        <v>1</v>
      </c>
    </row>
    <row r="33" spans="1:29" ht="15">
      <c r="A33" s="155" t="s">
        <v>1377</v>
      </c>
      <c r="B33" s="62" t="s">
        <v>1378</v>
      </c>
      <c r="C33" s="197" t="s">
        <v>230</v>
      </c>
      <c r="D33" s="814">
        <v>100</v>
      </c>
      <c r="E33" s="197" t="s">
        <v>231</v>
      </c>
      <c r="F33" s="809">
        <f>SUMIF(101:101,E33,102:102)-SUMIF(101:101,C33,102:102)+100</f>
        <v>98</v>
      </c>
      <c r="G33" s="197" t="s">
        <v>291</v>
      </c>
      <c r="H33" s="783">
        <f>SUMIF(101:101,G33,102:102)-SUMIF(101:101,C33,102:102)+100</f>
        <v>97</v>
      </c>
      <c r="I33" s="197" t="s">
        <v>292</v>
      </c>
      <c r="J33" s="814">
        <f>SUMIF(101:101,I33,102:102)-SUMIF(101:101,C33,102:102)+100</f>
        <v>96</v>
      </c>
      <c r="K33" s="959">
        <v>1</v>
      </c>
      <c r="L33" s="2328"/>
      <c r="M33" s="2323"/>
      <c r="N33" s="2323"/>
      <c r="O33" s="2323"/>
      <c r="P33" s="3701" t="s">
        <v>1379</v>
      </c>
      <c r="Q33" s="2246" t="str">
        <f t="shared" si="11"/>
        <v>建筑类型</v>
      </c>
      <c r="R33" s="1356" t="s">
        <v>70</v>
      </c>
      <c r="S33" s="1357">
        <f t="shared" si="12"/>
        <v>98</v>
      </c>
      <c r="T33" s="1356" t="s">
        <v>70</v>
      </c>
      <c r="U33" s="1357">
        <f t="shared" si="13"/>
        <v>97</v>
      </c>
      <c r="V33" s="1356" t="s">
        <v>70</v>
      </c>
      <c r="W33" s="1357">
        <f t="shared" si="14"/>
        <v>96</v>
      </c>
      <c r="X33" s="2248"/>
      <c r="Y33" s="3704" t="s">
        <v>1379</v>
      </c>
      <c r="Z33" s="2247" t="str">
        <f t="shared" si="15"/>
        <v>建筑类型</v>
      </c>
      <c r="AA33" s="1359">
        <f t="shared" si="3"/>
        <v>1.0204081632653061</v>
      </c>
      <c r="AB33" s="1359">
        <f t="shared" si="4"/>
        <v>1.0309278350515463</v>
      </c>
      <c r="AC33" s="2364">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7"/>
      <c r="M34" s="2329"/>
      <c r="N34" s="2329"/>
      <c r="O34" s="2329"/>
      <c r="P34" s="3702"/>
      <c r="Q34" s="1363" t="str">
        <f t="shared" si="11"/>
        <v>项目建筑规模</v>
      </c>
      <c r="R34" s="1364" t="s">
        <v>70</v>
      </c>
      <c r="S34" s="1365">
        <f t="shared" si="12"/>
        <v>92</v>
      </c>
      <c r="T34" s="1364" t="s">
        <v>70</v>
      </c>
      <c r="U34" s="1365">
        <f t="shared" si="13"/>
        <v>94</v>
      </c>
      <c r="V34" s="1364" t="s">
        <v>70</v>
      </c>
      <c r="W34" s="1365">
        <f t="shared" si="14"/>
        <v>96</v>
      </c>
      <c r="X34" s="1366"/>
      <c r="Y34" s="3704"/>
      <c r="Z34" s="1367" t="str">
        <f t="shared" si="15"/>
        <v>项目建筑规模</v>
      </c>
      <c r="AA34" s="1359">
        <f t="shared" si="3"/>
        <v>1.0869565217391304</v>
      </c>
      <c r="AB34" s="1359">
        <f t="shared" si="4"/>
        <v>1.0638297872340425</v>
      </c>
      <c r="AC34" s="2364">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8"/>
      <c r="M35" s="2323"/>
      <c r="N35" s="2323"/>
      <c r="O35" s="2323"/>
      <c r="P35" s="3702"/>
      <c r="Q35" s="2246" t="str">
        <f t="shared" si="11"/>
        <v>建筑结构</v>
      </c>
      <c r="R35" s="1356" t="s">
        <v>70</v>
      </c>
      <c r="S35" s="1357">
        <f t="shared" si="12"/>
        <v>98</v>
      </c>
      <c r="T35" s="1356" t="s">
        <v>70</v>
      </c>
      <c r="U35" s="1357">
        <f t="shared" si="13"/>
        <v>100</v>
      </c>
      <c r="V35" s="1356" t="s">
        <v>70</v>
      </c>
      <c r="W35" s="1357">
        <f t="shared" si="14"/>
        <v>98</v>
      </c>
      <c r="X35" s="2248"/>
      <c r="Y35" s="3704"/>
      <c r="Z35" s="2247" t="str">
        <f t="shared" si="15"/>
        <v>建筑结构</v>
      </c>
      <c r="AA35" s="1359">
        <f t="shared" si="3"/>
        <v>1.0204081632653061</v>
      </c>
      <c r="AB35" s="1359">
        <f t="shared" si="4"/>
        <v>1</v>
      </c>
      <c r="AC35" s="2364">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8"/>
      <c r="M36" s="2323"/>
      <c r="N36" s="2323"/>
      <c r="O36" s="2323"/>
      <c r="P36" s="3702"/>
      <c r="Q36" s="2246" t="str">
        <f t="shared" si="11"/>
        <v>公共部分装修</v>
      </c>
      <c r="R36" s="1356" t="s">
        <v>70</v>
      </c>
      <c r="S36" s="1357">
        <f t="shared" si="12"/>
        <v>101</v>
      </c>
      <c r="T36" s="1356" t="s">
        <v>70</v>
      </c>
      <c r="U36" s="1357">
        <f t="shared" si="13"/>
        <v>99</v>
      </c>
      <c r="V36" s="1356" t="s">
        <v>70</v>
      </c>
      <c r="W36" s="1357">
        <f t="shared" si="14"/>
        <v>98</v>
      </c>
      <c r="X36" s="2248"/>
      <c r="Y36" s="3704"/>
      <c r="Z36" s="2247" t="str">
        <f t="shared" si="15"/>
        <v>公共部分装修</v>
      </c>
      <c r="AA36" s="1359">
        <f t="shared" si="3"/>
        <v>0.99009900990099009</v>
      </c>
      <c r="AB36" s="1359">
        <f t="shared" si="4"/>
        <v>1.0101010101010102</v>
      </c>
      <c r="AC36" s="2364">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8"/>
      <c r="M37" s="2323"/>
      <c r="N37" s="2323"/>
      <c r="O37" s="2323"/>
      <c r="P37" s="3702"/>
      <c r="Q37" s="2246" t="str">
        <f t="shared" si="11"/>
        <v>成新度</v>
      </c>
      <c r="R37" s="1356" t="s">
        <v>70</v>
      </c>
      <c r="S37" s="1357">
        <f t="shared" si="12"/>
        <v>98</v>
      </c>
      <c r="T37" s="1356" t="s">
        <v>70</v>
      </c>
      <c r="U37" s="1357">
        <f t="shared" si="13"/>
        <v>100</v>
      </c>
      <c r="V37" s="1356" t="s">
        <v>70</v>
      </c>
      <c r="W37" s="1357">
        <f t="shared" si="14"/>
        <v>100</v>
      </c>
      <c r="X37" s="2248"/>
      <c r="Y37" s="3704"/>
      <c r="Z37" s="2247" t="str">
        <f t="shared" si="15"/>
        <v>成新度</v>
      </c>
      <c r="AA37" s="1359">
        <f t="shared" si="3"/>
        <v>1.0204081632653061</v>
      </c>
      <c r="AB37" s="1359">
        <f t="shared" si="4"/>
        <v>1</v>
      </c>
      <c r="AC37" s="2364">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4"/>
      <c r="M38" s="2286"/>
      <c r="N38" s="2286"/>
      <c r="O38" s="2286"/>
      <c r="P38" s="3702"/>
      <c r="Q38" s="2236" t="str">
        <f t="shared" si="11"/>
        <v>写字楼等级</v>
      </c>
      <c r="R38" s="1346" t="s">
        <v>70</v>
      </c>
      <c r="S38" s="1347">
        <f t="shared" si="12"/>
        <v>96</v>
      </c>
      <c r="T38" s="1346" t="s">
        <v>70</v>
      </c>
      <c r="U38" s="1347">
        <f t="shared" si="13"/>
        <v>92</v>
      </c>
      <c r="V38" s="1346" t="s">
        <v>70</v>
      </c>
      <c r="W38" s="1347">
        <f t="shared" si="14"/>
        <v>100</v>
      </c>
      <c r="X38" s="293"/>
      <c r="Y38" s="3704"/>
      <c r="Z38" s="2235" t="str">
        <f t="shared" si="15"/>
        <v>写字楼等级</v>
      </c>
      <c r="AA38" s="1348">
        <f t="shared" si="3"/>
        <v>1.0416666666666667</v>
      </c>
      <c r="AB38" s="1348">
        <f t="shared" si="4"/>
        <v>1.0869565217391304</v>
      </c>
      <c r="AC38" s="2363">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8"/>
      <c r="M39" s="2323"/>
      <c r="N39" s="2323"/>
      <c r="O39" s="2323"/>
      <c r="P39" s="3702" t="s">
        <v>75</v>
      </c>
      <c r="Q39" s="2246" t="str">
        <f t="shared" si="11"/>
        <v>物业管理</v>
      </c>
      <c r="R39" s="1356" t="s">
        <v>70</v>
      </c>
      <c r="S39" s="1357">
        <f t="shared" si="12"/>
        <v>97</v>
      </c>
      <c r="T39" s="1356" t="s">
        <v>70</v>
      </c>
      <c r="U39" s="1357">
        <f t="shared" si="13"/>
        <v>100</v>
      </c>
      <c r="V39" s="1356" t="s">
        <v>70</v>
      </c>
      <c r="W39" s="1357">
        <f t="shared" si="14"/>
        <v>97</v>
      </c>
      <c r="X39" s="2248"/>
      <c r="Y39" s="3704" t="s">
        <v>75</v>
      </c>
      <c r="Z39" s="2247" t="str">
        <f t="shared" si="15"/>
        <v>物业管理</v>
      </c>
      <c r="AA39" s="1359">
        <f t="shared" si="3"/>
        <v>1.0309278350515463</v>
      </c>
      <c r="AB39" s="1359">
        <f t="shared" si="4"/>
        <v>1</v>
      </c>
      <c r="AC39" s="2364">
        <f t="shared" si="5"/>
        <v>1.0309278350515463</v>
      </c>
    </row>
    <row r="40" spans="1:29" ht="15">
      <c r="A40" s="161"/>
      <c r="B40" s="12" t="s">
        <v>3055</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8"/>
      <c r="M40" s="2323"/>
      <c r="N40" s="2323"/>
      <c r="O40" s="2323"/>
      <c r="P40" s="3702"/>
      <c r="Q40" s="2246" t="str">
        <f t="shared" si="11"/>
        <v>市政基础设施</v>
      </c>
      <c r="R40" s="1356" t="s">
        <v>70</v>
      </c>
      <c r="S40" s="1357">
        <f t="shared" si="12"/>
        <v>99</v>
      </c>
      <c r="T40" s="1356" t="s">
        <v>70</v>
      </c>
      <c r="U40" s="1357">
        <f t="shared" si="13"/>
        <v>98</v>
      </c>
      <c r="V40" s="1356" t="s">
        <v>70</v>
      </c>
      <c r="W40" s="1357">
        <f t="shared" si="14"/>
        <v>97</v>
      </c>
      <c r="X40" s="2248"/>
      <c r="Y40" s="3704"/>
      <c r="Z40" s="2247" t="str">
        <f t="shared" si="15"/>
        <v>市政基础设施</v>
      </c>
      <c r="AA40" s="1359">
        <f t="shared" si="3"/>
        <v>1.0101010101010102</v>
      </c>
      <c r="AB40" s="1359">
        <f t="shared" si="4"/>
        <v>1.0204081632653061</v>
      </c>
      <c r="AC40" s="2364">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8"/>
      <c r="M41" s="2323"/>
      <c r="N41" s="2323"/>
      <c r="O41" s="2323"/>
      <c r="P41" s="3702"/>
      <c r="Q41" s="2246" t="str">
        <f t="shared" si="11"/>
        <v>层高</v>
      </c>
      <c r="R41" s="1356" t="s">
        <v>70</v>
      </c>
      <c r="S41" s="1357">
        <f t="shared" si="12"/>
        <v>100</v>
      </c>
      <c r="T41" s="1356" t="s">
        <v>70</v>
      </c>
      <c r="U41" s="1357">
        <f t="shared" si="13"/>
        <v>101.5</v>
      </c>
      <c r="V41" s="1356" t="s">
        <v>70</v>
      </c>
      <c r="W41" s="1357">
        <f t="shared" si="14"/>
        <v>100</v>
      </c>
      <c r="X41" s="2248"/>
      <c r="Y41" s="3704"/>
      <c r="Z41" s="2247" t="str">
        <f t="shared" si="15"/>
        <v>层高</v>
      </c>
      <c r="AA41" s="1359">
        <f t="shared" si="3"/>
        <v>1</v>
      </c>
      <c r="AB41" s="1359">
        <f t="shared" si="4"/>
        <v>0.98522167487684731</v>
      </c>
      <c r="AC41" s="2364">
        <f t="shared" si="5"/>
        <v>1</v>
      </c>
    </row>
    <row r="42" spans="1:29" s="1044" customFormat="1" ht="14.25">
      <c r="A42" s="1048"/>
      <c r="B42" s="191" t="s">
        <v>1380</v>
      </c>
      <c r="C42" s="782" t="s">
        <v>296</v>
      </c>
      <c r="D42" s="783">
        <v>100</v>
      </c>
      <c r="E42" s="782" t="s">
        <v>293</v>
      </c>
      <c r="F42" s="809">
        <f>SUMIF(121:121,E42,122:122)-SUMIF(121:121,C42,122:122)+100</f>
        <v>105</v>
      </c>
      <c r="G42" s="782" t="s">
        <v>294</v>
      </c>
      <c r="H42" s="783">
        <f>SUMIF(121:121,G42,122:122)-SUMIF(121:121,C42,122:122)+100</f>
        <v>103</v>
      </c>
      <c r="I42" s="782" t="s">
        <v>295</v>
      </c>
      <c r="J42" s="783">
        <f>SUMIF(121:121,I42,122:122)-SUMIF(121:121,C42,122:122)+100</f>
        <v>98</v>
      </c>
      <c r="K42" s="188"/>
      <c r="L42" s="2327"/>
      <c r="M42" s="2329"/>
      <c r="N42" s="2329"/>
      <c r="O42" s="2329"/>
      <c r="P42" s="3702"/>
      <c r="Q42" s="1363" t="str">
        <f t="shared" si="11"/>
        <v>单套建筑面积</v>
      </c>
      <c r="R42" s="1364" t="s">
        <v>70</v>
      </c>
      <c r="S42" s="1365">
        <f t="shared" si="12"/>
        <v>105</v>
      </c>
      <c r="T42" s="1364" t="s">
        <v>70</v>
      </c>
      <c r="U42" s="1365">
        <f t="shared" si="13"/>
        <v>103</v>
      </c>
      <c r="V42" s="1364" t="s">
        <v>70</v>
      </c>
      <c r="W42" s="1365">
        <f t="shared" si="14"/>
        <v>98</v>
      </c>
      <c r="X42" s="1366"/>
      <c r="Y42" s="3704"/>
      <c r="Z42" s="1367" t="str">
        <f t="shared" si="15"/>
        <v>单套建筑面积</v>
      </c>
      <c r="AA42" s="1359">
        <f t="shared" si="3"/>
        <v>0.95238095238095233</v>
      </c>
      <c r="AB42" s="1359">
        <f t="shared" si="4"/>
        <v>0.970873786407767</v>
      </c>
      <c r="AC42" s="2364">
        <f t="shared" si="5"/>
        <v>1.0204081632653061</v>
      </c>
    </row>
    <row r="43" spans="1:29" ht="15">
      <c r="A43" s="161"/>
      <c r="B43" s="12" t="s">
        <v>1381</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8"/>
      <c r="M43" s="2323"/>
      <c r="N43" s="2323"/>
      <c r="O43" s="2323"/>
      <c r="P43" s="3702"/>
      <c r="Q43" s="2246" t="str">
        <f t="shared" si="11"/>
        <v>内部装修</v>
      </c>
      <c r="R43" s="1356" t="s">
        <v>70</v>
      </c>
      <c r="S43" s="1357">
        <f t="shared" si="12"/>
        <v>97</v>
      </c>
      <c r="T43" s="1356" t="s">
        <v>70</v>
      </c>
      <c r="U43" s="1357">
        <f t="shared" si="13"/>
        <v>94</v>
      </c>
      <c r="V43" s="1356" t="s">
        <v>70</v>
      </c>
      <c r="W43" s="1357">
        <f t="shared" si="14"/>
        <v>91</v>
      </c>
      <c r="X43" s="2248"/>
      <c r="Y43" s="3704"/>
      <c r="Z43" s="2247" t="str">
        <f t="shared" si="15"/>
        <v>内部装修</v>
      </c>
      <c r="AA43" s="1359">
        <f t="shared" si="3"/>
        <v>1.0309278350515463</v>
      </c>
      <c r="AB43" s="1359">
        <f t="shared" si="4"/>
        <v>1.0638297872340425</v>
      </c>
      <c r="AC43" s="2364">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8"/>
      <c r="M44" s="2323"/>
      <c r="N44" s="2323"/>
      <c r="O44" s="2323"/>
      <c r="P44" s="3702"/>
      <c r="Q44" s="2246" t="str">
        <f t="shared" si="11"/>
        <v>内部装修维护情况</v>
      </c>
      <c r="R44" s="1356" t="s">
        <v>70</v>
      </c>
      <c r="S44" s="1357">
        <f t="shared" si="12"/>
        <v>98</v>
      </c>
      <c r="T44" s="1356" t="s">
        <v>70</v>
      </c>
      <c r="U44" s="1357">
        <f t="shared" si="13"/>
        <v>102</v>
      </c>
      <c r="V44" s="1356" t="s">
        <v>70</v>
      </c>
      <c r="W44" s="1357">
        <f t="shared" si="14"/>
        <v>94</v>
      </c>
      <c r="X44" s="2248"/>
      <c r="Y44" s="3704"/>
      <c r="Z44" s="2247" t="str">
        <f t="shared" si="15"/>
        <v>内部装修维护情况</v>
      </c>
      <c r="AA44" s="1359">
        <f t="shared" si="3"/>
        <v>1.0204081632653061</v>
      </c>
      <c r="AB44" s="1359">
        <f t="shared" si="4"/>
        <v>0.98039215686274506</v>
      </c>
      <c r="AC44" s="2364">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4"/>
      <c r="M45" s="2286"/>
      <c r="N45" s="2286"/>
      <c r="O45" s="2286"/>
      <c r="P45" s="3702"/>
      <c r="Q45" s="2236">
        <f t="shared" si="11"/>
        <v>111</v>
      </c>
      <c r="R45" s="1346" t="s">
        <v>70</v>
      </c>
      <c r="S45" s="1347">
        <f t="shared" si="12"/>
        <v>100</v>
      </c>
      <c r="T45" s="1346" t="s">
        <v>70</v>
      </c>
      <c r="U45" s="1347">
        <f t="shared" si="13"/>
        <v>100</v>
      </c>
      <c r="V45" s="1346" t="s">
        <v>70</v>
      </c>
      <c r="W45" s="1347">
        <f t="shared" si="14"/>
        <v>100</v>
      </c>
      <c r="X45" s="293"/>
      <c r="Y45" s="3704"/>
      <c r="Z45" s="2235">
        <f t="shared" si="15"/>
        <v>111</v>
      </c>
      <c r="AA45" s="1348">
        <f t="shared" si="3"/>
        <v>1</v>
      </c>
      <c r="AB45" s="1348">
        <f t="shared" si="4"/>
        <v>1</v>
      </c>
      <c r="AC45" s="2363">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8"/>
      <c r="M46" s="2323"/>
      <c r="N46" s="2323"/>
      <c r="O46" s="2323"/>
      <c r="P46" s="3702"/>
      <c r="Q46" s="2246">
        <f t="shared" si="11"/>
        <v>111</v>
      </c>
      <c r="R46" s="1356" t="s">
        <v>70</v>
      </c>
      <c r="S46" s="1357">
        <f t="shared" si="12"/>
        <v>100</v>
      </c>
      <c r="T46" s="1356" t="s">
        <v>70</v>
      </c>
      <c r="U46" s="1357">
        <f t="shared" si="13"/>
        <v>100</v>
      </c>
      <c r="V46" s="1356" t="s">
        <v>70</v>
      </c>
      <c r="W46" s="1357">
        <f t="shared" si="14"/>
        <v>100</v>
      </c>
      <c r="X46" s="2248"/>
      <c r="Y46" s="3704"/>
      <c r="Z46" s="2247">
        <f t="shared" si="15"/>
        <v>111</v>
      </c>
      <c r="AA46" s="1359">
        <f t="shared" si="3"/>
        <v>1</v>
      </c>
      <c r="AB46" s="1359">
        <f t="shared" si="4"/>
        <v>1</v>
      </c>
      <c r="AC46" s="2364">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8"/>
      <c r="M47" s="2323"/>
      <c r="N47" s="2323"/>
      <c r="O47" s="2323"/>
      <c r="P47" s="3703"/>
      <c r="Q47" s="2246">
        <f t="shared" si="11"/>
        <v>111</v>
      </c>
      <c r="R47" s="1356" t="s">
        <v>70</v>
      </c>
      <c r="S47" s="1357">
        <f t="shared" si="12"/>
        <v>100</v>
      </c>
      <c r="T47" s="1356" t="s">
        <v>70</v>
      </c>
      <c r="U47" s="1357">
        <f t="shared" si="13"/>
        <v>100</v>
      </c>
      <c r="V47" s="1356" t="s">
        <v>70</v>
      </c>
      <c r="W47" s="1357">
        <f t="shared" si="14"/>
        <v>100</v>
      </c>
      <c r="X47" s="2248"/>
      <c r="Y47" s="3705"/>
      <c r="Z47" s="2247">
        <f t="shared" si="15"/>
        <v>111</v>
      </c>
      <c r="AA47" s="1359">
        <f t="shared" si="3"/>
        <v>1</v>
      </c>
      <c r="AB47" s="1359">
        <f t="shared" si="4"/>
        <v>1</v>
      </c>
      <c r="AC47" s="2364">
        <f t="shared" si="5"/>
        <v>1</v>
      </c>
    </row>
    <row r="48" spans="1:29" ht="15">
      <c r="A48" s="163" t="s">
        <v>1278</v>
      </c>
      <c r="B48" s="164"/>
      <c r="C48" s="2872" t="s">
        <v>23</v>
      </c>
      <c r="D48" s="2873"/>
      <c r="E48" s="2874">
        <v>30000</v>
      </c>
      <c r="F48" s="2875"/>
      <c r="G48" s="2876">
        <v>35000</v>
      </c>
      <c r="H48" s="2877"/>
      <c r="I48" s="2874">
        <v>32000</v>
      </c>
      <c r="J48" s="832"/>
      <c r="K48" s="1397"/>
      <c r="L48" s="2330"/>
      <c r="M48" s="2323"/>
      <c r="N48" s="2323"/>
      <c r="O48" s="2323"/>
      <c r="P48" s="3679" t="str">
        <f>A48</f>
        <v>成交单价（元/平方米）</v>
      </c>
      <c r="Q48" s="3697"/>
      <c r="R48" s="3698">
        <f>E48</f>
        <v>30000</v>
      </c>
      <c r="S48" s="3698"/>
      <c r="T48" s="3698">
        <f>G48</f>
        <v>35000</v>
      </c>
      <c r="U48" s="3698"/>
      <c r="V48" s="3698">
        <f>I48</f>
        <v>32000</v>
      </c>
      <c r="W48" s="3698"/>
      <c r="X48" s="156"/>
      <c r="Y48" s="1370"/>
      <c r="Z48" s="156"/>
      <c r="AA48" s="156"/>
      <c r="AB48" s="156"/>
      <c r="AC48" s="209"/>
    </row>
    <row r="49" spans="1:29" ht="15.75" thickBot="1">
      <c r="A49" s="165" t="s">
        <v>1279</v>
      </c>
      <c r="B49" s="166"/>
      <c r="C49" s="2878" t="e">
        <f>R50</f>
        <v>#DIV/0!</v>
      </c>
      <c r="D49" s="2879"/>
      <c r="E49" s="2880" t="e">
        <f>R49</f>
        <v>#DIV/0!</v>
      </c>
      <c r="F49" s="2880"/>
      <c r="G49" s="2878" t="e">
        <f>T49</f>
        <v>#DIV/0!</v>
      </c>
      <c r="H49" s="2879"/>
      <c r="I49" s="2880" t="e">
        <f>V49</f>
        <v>#DIV/0!</v>
      </c>
      <c r="J49" s="836"/>
      <c r="K49" s="1398"/>
      <c r="L49" s="2330"/>
      <c r="M49" s="2323"/>
      <c r="N49" s="2323"/>
      <c r="O49" s="2323"/>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156"/>
      <c r="Y49" s="156"/>
      <c r="Z49" s="156"/>
      <c r="AA49" s="156"/>
      <c r="AB49" s="156"/>
      <c r="AC49" s="209"/>
    </row>
    <row r="50" spans="1:29" ht="15.75" thickBot="1">
      <c r="A50" s="115" t="s">
        <v>1280</v>
      </c>
      <c r="B50" s="116"/>
      <c r="C50" s="2882" t="e">
        <f>R50</f>
        <v>#DIV/0!</v>
      </c>
      <c r="D50" s="2882"/>
      <c r="E50" s="2882"/>
      <c r="F50" s="2882"/>
      <c r="G50" s="2882"/>
      <c r="H50" s="2882"/>
      <c r="I50" s="2882"/>
      <c r="J50" s="841"/>
      <c r="K50" s="1399"/>
      <c r="L50" s="2330"/>
      <c r="M50" s="2323"/>
      <c r="N50" s="2323"/>
      <c r="O50" s="2323"/>
      <c r="P50" s="3743" t="str">
        <f>A50</f>
        <v>估价对象XX用房的比较价值（楼面单价，元/平方米）</v>
      </c>
      <c r="Q50" s="3744"/>
      <c r="R50" s="3745" t="e">
        <f>IF(F1="售价",ROUND(AVERAGE(R49:V49),0),ROUND(AVERAGE(R49:V49),1))</f>
        <v>#DIV/0!</v>
      </c>
      <c r="S50" s="3745"/>
      <c r="T50" s="3745"/>
      <c r="U50" s="3745"/>
      <c r="V50" s="3745"/>
      <c r="W50" s="3745"/>
      <c r="X50" s="2201"/>
      <c r="Y50" s="2201"/>
      <c r="Z50" s="2201"/>
      <c r="AA50" s="2201"/>
      <c r="AB50" s="2201"/>
      <c r="AC50" s="2202"/>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4" t="s">
        <v>1242</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2"/>
      <c r="L53" s="2333"/>
      <c r="M53" s="2331"/>
      <c r="N53" s="2331"/>
      <c r="O53" s="2331"/>
    </row>
    <row r="54" spans="1:29" ht="13.5" customHeight="1">
      <c r="A54" s="2331"/>
      <c r="B54" s="2331"/>
      <c r="C54" s="844" t="s">
        <v>1243</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2"/>
      <c r="L54" s="2333"/>
      <c r="M54" s="2331"/>
      <c r="N54" s="2331"/>
      <c r="O54" s="2331"/>
    </row>
    <row r="55" spans="1:29" s="119" customFormat="1" ht="13.5" customHeight="1">
      <c r="A55" s="2336"/>
      <c r="B55" s="2336"/>
      <c r="C55" s="844" t="s">
        <v>1244</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6" t="s">
        <v>1281</v>
      </c>
      <c r="B58" s="1369"/>
      <c r="C58" s="1377"/>
      <c r="D58" s="1377"/>
      <c r="E58" s="1377"/>
      <c r="F58" s="1378"/>
      <c r="G58" s="1378"/>
      <c r="H58" s="1377"/>
      <c r="I58" s="1377"/>
      <c r="J58" s="1377"/>
      <c r="K58" s="1379"/>
      <c r="L58" s="2338"/>
      <c r="M58" s="2339"/>
      <c r="N58" s="2339"/>
      <c r="O58" s="2339"/>
      <c r="P58" s="2353"/>
      <c r="Q58" s="121"/>
    </row>
    <row r="59" spans="1:29" s="855" customFormat="1" ht="15">
      <c r="A59" s="852" t="s">
        <v>3198</v>
      </c>
      <c r="B59" s="853"/>
      <c r="C59" s="3082" t="str">
        <f>YEAR(C7)&amp;"-"&amp;MONTH(C7)</f>
        <v>2017-8</v>
      </c>
      <c r="D59" s="3083">
        <f>EDATE(C59,-1)</f>
        <v>42917</v>
      </c>
      <c r="E59" s="3083">
        <f>EDATE(D59,-1)</f>
        <v>42887</v>
      </c>
      <c r="F59" s="3083">
        <f t="shared" ref="F59:O59" si="16">EDATE(E59,-1)</f>
        <v>42856</v>
      </c>
      <c r="G59" s="3083">
        <f t="shared" si="16"/>
        <v>42826</v>
      </c>
      <c r="H59" s="3083">
        <f t="shared" si="16"/>
        <v>42795</v>
      </c>
      <c r="I59" s="3083">
        <f t="shared" si="16"/>
        <v>42767</v>
      </c>
      <c r="J59" s="3083">
        <f t="shared" si="16"/>
        <v>42736</v>
      </c>
      <c r="K59" s="3083">
        <f t="shared" si="16"/>
        <v>42705</v>
      </c>
      <c r="L59" s="3083">
        <f t="shared" si="16"/>
        <v>42675</v>
      </c>
      <c r="M59" s="3083">
        <f t="shared" si="16"/>
        <v>42644</v>
      </c>
      <c r="N59" s="3083">
        <f t="shared" si="16"/>
        <v>42614</v>
      </c>
      <c r="O59" s="3083">
        <f t="shared" si="16"/>
        <v>42583</v>
      </c>
      <c r="P59" s="3077"/>
    </row>
    <row r="60" spans="1:29" s="40" customFormat="1" ht="14.25">
      <c r="A60" s="1050"/>
      <c r="B60" s="1051"/>
      <c r="C60" s="3080">
        <v>100</v>
      </c>
      <c r="D60" s="859">
        <v>99.5</v>
      </c>
      <c r="E60" s="859">
        <v>99</v>
      </c>
      <c r="F60" s="859">
        <v>98.5</v>
      </c>
      <c r="G60" s="859">
        <v>98</v>
      </c>
      <c r="H60" s="859">
        <v>97.5</v>
      </c>
      <c r="I60" s="859">
        <v>97</v>
      </c>
      <c r="J60" s="859">
        <v>96.5</v>
      </c>
      <c r="K60" s="859">
        <v>96</v>
      </c>
      <c r="L60" s="859">
        <v>95.5</v>
      </c>
      <c r="M60" s="860">
        <v>95</v>
      </c>
      <c r="N60" s="859">
        <v>94.5</v>
      </c>
      <c r="O60" s="860">
        <v>94</v>
      </c>
      <c r="P60" s="2354"/>
    </row>
    <row r="61" spans="1:29" s="40" customFormat="1" ht="15" thickBot="1">
      <c r="A61" s="1052" t="s">
        <v>1282</v>
      </c>
      <c r="B61" s="1053"/>
      <c r="C61" s="864"/>
      <c r="D61" s="865"/>
      <c r="E61" s="865"/>
      <c r="F61" s="865"/>
      <c r="G61" s="865"/>
      <c r="H61" s="865"/>
      <c r="I61" s="865"/>
      <c r="J61" s="865"/>
      <c r="K61" s="865"/>
      <c r="L61" s="865"/>
      <c r="M61" s="866"/>
      <c r="N61" s="865"/>
      <c r="O61" s="866"/>
      <c r="P61" s="2354"/>
      <c r="Q61" s="121"/>
    </row>
    <row r="62" spans="1:29" s="40" customFormat="1">
      <c r="A62" s="1054" t="s">
        <v>1283</v>
      </c>
      <c r="B62" s="1051"/>
      <c r="C62" s="1055" t="s">
        <v>1284</v>
      </c>
      <c r="D62" s="140" t="s">
        <v>1285</v>
      </c>
      <c r="E62" s="140"/>
      <c r="F62" s="140"/>
      <c r="G62" s="140"/>
      <c r="H62" s="140"/>
      <c r="I62" s="140"/>
      <c r="J62" s="140"/>
      <c r="K62" s="140"/>
      <c r="L62" s="141"/>
      <c r="M62" s="1056"/>
      <c r="N62" s="1392"/>
      <c r="O62" s="1392"/>
      <c r="P62" s="2355"/>
      <c r="Q62" s="121"/>
    </row>
    <row r="63" spans="1:29" s="40" customFormat="1" ht="15" thickBot="1">
      <c r="A63" s="1054"/>
      <c r="B63" s="1051"/>
      <c r="C63" s="858">
        <v>100</v>
      </c>
      <c r="D63" s="859">
        <v>99</v>
      </c>
      <c r="E63" s="859"/>
      <c r="F63" s="859"/>
      <c r="G63" s="859"/>
      <c r="H63" s="859"/>
      <c r="I63" s="859"/>
      <c r="J63" s="859"/>
      <c r="K63" s="859"/>
      <c r="L63" s="859"/>
      <c r="M63" s="861"/>
      <c r="N63" s="1392"/>
      <c r="O63" s="1392"/>
      <c r="P63" s="2354"/>
      <c r="Q63" s="121"/>
    </row>
    <row r="64" spans="1:29">
      <c r="A64" s="172" t="s">
        <v>1286</v>
      </c>
      <c r="B64" s="292" t="s">
        <v>1287</v>
      </c>
      <c r="C64" s="176" t="str">
        <f>C9</f>
        <v>办公</v>
      </c>
      <c r="D64" s="122" t="s">
        <v>1382</v>
      </c>
      <c r="E64" s="122"/>
      <c r="F64" s="122"/>
      <c r="G64" s="122"/>
      <c r="H64" s="122"/>
      <c r="I64" s="122"/>
      <c r="J64" s="122"/>
      <c r="K64" s="123"/>
      <c r="L64" s="124"/>
      <c r="M64" s="125"/>
      <c r="N64" s="1393"/>
      <c r="O64" s="1393"/>
      <c r="P64" s="2356"/>
      <c r="Q64" s="121"/>
    </row>
    <row r="65" spans="1:17" ht="15" thickBot="1">
      <c r="A65" s="173"/>
      <c r="B65" s="1058"/>
      <c r="C65" s="883">
        <v>100</v>
      </c>
      <c r="D65" s="883">
        <v>95</v>
      </c>
      <c r="E65" s="883"/>
      <c r="F65" s="883"/>
      <c r="G65" s="883"/>
      <c r="H65" s="883"/>
      <c r="I65" s="883"/>
      <c r="J65" s="883"/>
      <c r="K65" s="883"/>
      <c r="L65" s="883"/>
      <c r="M65" s="884"/>
      <c r="N65" s="1394"/>
      <c r="O65" s="1394"/>
      <c r="P65" s="2356"/>
      <c r="Q65" s="121"/>
    </row>
    <row r="66" spans="1:17" ht="27.75" thickTop="1">
      <c r="A66" s="173"/>
      <c r="B66" s="1059" t="s">
        <v>1289</v>
      </c>
      <c r="C66" s="886" t="s">
        <v>1245</v>
      </c>
      <c r="D66" s="886" t="s">
        <v>1246</v>
      </c>
      <c r="E66" s="886" t="s">
        <v>1247</v>
      </c>
      <c r="F66" s="886" t="s">
        <v>1248</v>
      </c>
      <c r="G66" s="886" t="s">
        <v>1249</v>
      </c>
      <c r="H66" s="886" t="s">
        <v>1250</v>
      </c>
      <c r="I66" s="886" t="s">
        <v>1251</v>
      </c>
      <c r="J66" s="886"/>
      <c r="K66" s="887"/>
      <c r="L66" s="888"/>
      <c r="M66" s="889"/>
      <c r="N66" s="1393"/>
      <c r="O66" s="1393"/>
      <c r="P66" s="2356"/>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6"/>
      <c r="Q67" s="121"/>
    </row>
    <row r="68" spans="1:17" ht="15" thickTop="1">
      <c r="A68" s="173"/>
      <c r="B68" s="1061" t="s">
        <v>1290</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6"/>
      <c r="Q68" s="121"/>
    </row>
    <row r="69" spans="1:17" ht="14.25">
      <c r="A69" s="173"/>
      <c r="B69" s="1062"/>
      <c r="C69" s="896">
        <v>0</v>
      </c>
      <c r="D69" s="896">
        <v>1</v>
      </c>
      <c r="E69" s="896">
        <v>2</v>
      </c>
      <c r="F69" s="896">
        <v>3</v>
      </c>
      <c r="G69" s="896">
        <v>4</v>
      </c>
      <c r="H69" s="896"/>
      <c r="I69" s="896"/>
      <c r="J69" s="896"/>
      <c r="K69" s="897"/>
      <c r="L69" s="898"/>
      <c r="M69" s="899"/>
      <c r="N69" s="1393"/>
      <c r="O69" s="1393"/>
      <c r="P69" s="2356"/>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6"/>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7"/>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7"/>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7"/>
      <c r="Q76" s="1068"/>
    </row>
    <row r="77" spans="1:17" ht="14.25">
      <c r="A77" s="172" t="s">
        <v>1291</v>
      </c>
      <c r="B77" s="292" t="s">
        <v>1383</v>
      </c>
      <c r="C77" s="920" t="s">
        <v>1252</v>
      </c>
      <c r="D77" s="920" t="s">
        <v>1253</v>
      </c>
      <c r="E77" s="920" t="s">
        <v>1254</v>
      </c>
      <c r="F77" s="920" t="s">
        <v>1255</v>
      </c>
      <c r="G77" s="920" t="s">
        <v>1256</v>
      </c>
      <c r="H77" s="876"/>
      <c r="I77" s="876"/>
      <c r="J77" s="876"/>
      <c r="K77" s="921"/>
      <c r="L77" s="922"/>
      <c r="M77" s="923"/>
      <c r="N77" s="1393"/>
      <c r="O77" s="1393"/>
      <c r="P77" s="2360"/>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6"/>
      <c r="Q78" s="121"/>
    </row>
    <row r="79" spans="1:17" ht="15" thickTop="1">
      <c r="A79" s="173"/>
      <c r="B79" s="1059" t="s">
        <v>1298</v>
      </c>
      <c r="C79" s="925" t="s">
        <v>1252</v>
      </c>
      <c r="D79" s="925" t="s">
        <v>1253</v>
      </c>
      <c r="E79" s="925" t="s">
        <v>1254</v>
      </c>
      <c r="F79" s="925" t="s">
        <v>1417</v>
      </c>
      <c r="G79" s="925" t="s">
        <v>1256</v>
      </c>
      <c r="H79" s="886"/>
      <c r="I79" s="886"/>
      <c r="J79" s="886"/>
      <c r="K79" s="887"/>
      <c r="L79" s="888"/>
      <c r="M79" s="889"/>
      <c r="N79" s="1393"/>
      <c r="O79" s="1393"/>
      <c r="P79" s="2356"/>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6"/>
      <c r="Q80" s="121"/>
    </row>
    <row r="81" spans="1:17" ht="15" thickTop="1">
      <c r="A81" s="173"/>
      <c r="B81" s="1059" t="s">
        <v>31</v>
      </c>
      <c r="C81" s="925" t="s">
        <v>1252</v>
      </c>
      <c r="D81" s="925" t="s">
        <v>1253</v>
      </c>
      <c r="E81" s="925" t="s">
        <v>1254</v>
      </c>
      <c r="F81" s="925" t="s">
        <v>1255</v>
      </c>
      <c r="G81" s="925" t="s">
        <v>1256</v>
      </c>
      <c r="H81" s="886"/>
      <c r="I81" s="886"/>
      <c r="J81" s="886"/>
      <c r="K81" s="887"/>
      <c r="L81" s="888"/>
      <c r="M81" s="889"/>
      <c r="N81" s="1393"/>
      <c r="O81" s="1393"/>
      <c r="P81" s="2356"/>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6"/>
      <c r="Q82" s="121"/>
    </row>
    <row r="83" spans="1:17" ht="15" thickTop="1">
      <c r="A83" s="173"/>
      <c r="B83" s="1061" t="s">
        <v>3064</v>
      </c>
      <c r="C83" s="213" t="s">
        <v>3057</v>
      </c>
      <c r="D83" s="213" t="s">
        <v>3058</v>
      </c>
      <c r="E83" s="213" t="s">
        <v>3059</v>
      </c>
      <c r="F83" s="213" t="s">
        <v>3060</v>
      </c>
      <c r="G83" s="213" t="s">
        <v>3061</v>
      </c>
      <c r="H83" s="886"/>
      <c r="I83" s="886"/>
      <c r="J83" s="886"/>
      <c r="K83" s="886"/>
      <c r="L83" s="886"/>
      <c r="M83" s="2801"/>
      <c r="N83" s="1394"/>
      <c r="O83" s="1394"/>
      <c r="P83" s="2356"/>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6"/>
      <c r="Q84" s="121"/>
    </row>
    <row r="85" spans="1:17" ht="15" thickTop="1">
      <c r="A85" s="173"/>
      <c r="B85" s="1059" t="s">
        <v>1384</v>
      </c>
      <c r="C85" s="925" t="s">
        <v>1252</v>
      </c>
      <c r="D85" s="925" t="s">
        <v>1253</v>
      </c>
      <c r="E85" s="925" t="s">
        <v>1254</v>
      </c>
      <c r="F85" s="925" t="s">
        <v>1255</v>
      </c>
      <c r="G85" s="925" t="s">
        <v>1256</v>
      </c>
      <c r="H85" s="886"/>
      <c r="I85" s="886"/>
      <c r="J85" s="886"/>
      <c r="K85" s="887"/>
      <c r="L85" s="888"/>
      <c r="M85" s="889"/>
      <c r="N85" s="1393"/>
      <c r="O85" s="1393"/>
      <c r="P85" s="2356"/>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6"/>
      <c r="Q86" s="121"/>
    </row>
    <row r="87" spans="1:17" s="40" customFormat="1" ht="27.75" thickTop="1">
      <c r="A87" s="1077"/>
      <c r="B87" s="1059" t="s">
        <v>1385</v>
      </c>
      <c r="C87" s="139" t="s">
        <v>1386</v>
      </c>
      <c r="D87" s="139" t="s">
        <v>1387</v>
      </c>
      <c r="E87" s="139" t="s">
        <v>1388</v>
      </c>
      <c r="F87" s="139" t="s">
        <v>1389</v>
      </c>
      <c r="G87" s="139" t="s">
        <v>1390</v>
      </c>
      <c r="H87" s="139"/>
      <c r="I87" s="139"/>
      <c r="J87" s="139"/>
      <c r="K87" s="139"/>
      <c r="L87" s="1388"/>
      <c r="M87" s="1389"/>
      <c r="N87" s="1392"/>
      <c r="O87" s="1392"/>
      <c r="P87" s="2356"/>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6"/>
      <c r="Q88" s="121"/>
    </row>
    <row r="89" spans="1:17" s="40" customFormat="1" ht="14.25" thickTop="1">
      <c r="A89" s="1077"/>
      <c r="B89" s="1059" t="str">
        <f>B27</f>
        <v>楼层</v>
      </c>
      <c r="C89" s="139" t="s">
        <v>1391</v>
      </c>
      <c r="D89" s="139" t="s">
        <v>1392</v>
      </c>
      <c r="E89" s="139" t="s">
        <v>1393</v>
      </c>
      <c r="F89" s="1390"/>
      <c r="G89" s="139"/>
      <c r="H89" s="139"/>
      <c r="I89" s="139"/>
      <c r="J89" s="139"/>
      <c r="K89" s="139"/>
      <c r="L89" s="139"/>
      <c r="M89" s="1389"/>
      <c r="N89" s="1392"/>
      <c r="O89" s="1392"/>
      <c r="P89" s="2356"/>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6"/>
      <c r="Q90" s="121"/>
    </row>
    <row r="91" spans="1:17" s="1044" customFormat="1" ht="14.25" thickTop="1">
      <c r="A91" s="1063"/>
      <c r="B91" s="1059" t="str">
        <f>B28</f>
        <v>朝向</v>
      </c>
      <c r="C91" s="139" t="s">
        <v>1394</v>
      </c>
      <c r="D91" s="139" t="s">
        <v>1395</v>
      </c>
      <c r="E91" s="139" t="s">
        <v>1396</v>
      </c>
      <c r="F91" s="139" t="s">
        <v>1397</v>
      </c>
      <c r="G91" s="139"/>
      <c r="H91" s="1064"/>
      <c r="I91" s="1064"/>
      <c r="J91" s="1064"/>
      <c r="K91" s="1064"/>
      <c r="L91" s="1065"/>
      <c r="M91" s="1066"/>
      <c r="N91" s="1395"/>
      <c r="O91" s="1395"/>
      <c r="P91" s="2357"/>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7"/>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6"/>
      <c r="Q93" s="121"/>
    </row>
    <row r="94" spans="1:17" ht="15" thickBot="1">
      <c r="A94" s="173"/>
      <c r="B94" s="1060"/>
      <c r="C94" s="907">
        <v>100</v>
      </c>
      <c r="D94" s="883">
        <v>101</v>
      </c>
      <c r="E94" s="883">
        <v>102</v>
      </c>
      <c r="F94" s="883">
        <v>103</v>
      </c>
      <c r="G94" s="883"/>
      <c r="H94" s="883"/>
      <c r="I94" s="883"/>
      <c r="J94" s="883"/>
      <c r="K94" s="883"/>
      <c r="L94" s="883"/>
      <c r="M94" s="884"/>
      <c r="N94" s="1394"/>
      <c r="O94" s="1394"/>
      <c r="P94" s="2356"/>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6"/>
      <c r="Q95" s="121"/>
    </row>
    <row r="96" spans="1:17" ht="15" thickBot="1">
      <c r="A96" s="173"/>
      <c r="B96" s="1060"/>
      <c r="C96" s="907">
        <v>100</v>
      </c>
      <c r="D96" s="907">
        <v>101</v>
      </c>
      <c r="E96" s="907">
        <v>102</v>
      </c>
      <c r="F96" s="907">
        <v>103</v>
      </c>
      <c r="G96" s="883"/>
      <c r="H96" s="883"/>
      <c r="I96" s="883"/>
      <c r="J96" s="883"/>
      <c r="K96" s="883"/>
      <c r="L96" s="883"/>
      <c r="M96" s="884"/>
      <c r="N96" s="1394"/>
      <c r="O96" s="1394"/>
      <c r="P96" s="2356"/>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6"/>
      <c r="Q97" s="121"/>
    </row>
    <row r="98" spans="1:17" ht="15" thickBot="1">
      <c r="A98" s="173"/>
      <c r="B98" s="1060"/>
      <c r="C98" s="907">
        <v>100</v>
      </c>
      <c r="D98" s="883">
        <v>101</v>
      </c>
      <c r="E98" s="883">
        <v>102</v>
      </c>
      <c r="F98" s="883">
        <v>103</v>
      </c>
      <c r="G98" s="883"/>
      <c r="H98" s="883"/>
      <c r="I98" s="883"/>
      <c r="J98" s="883"/>
      <c r="K98" s="883"/>
      <c r="L98" s="883"/>
      <c r="M98" s="884"/>
      <c r="N98" s="1394"/>
      <c r="O98" s="1394"/>
      <c r="P98" s="2356"/>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6"/>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6"/>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3"/>
      <c r="O101" s="1393"/>
      <c r="P101" s="2356"/>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6"/>
      <c r="Q102" s="121"/>
    </row>
    <row r="103" spans="1:17" ht="29.25" thickTop="1">
      <c r="A103" s="173"/>
      <c r="B103" s="1059" t="s">
        <v>1324</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6"/>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7"/>
      <c r="Q105" s="1068"/>
    </row>
    <row r="106" spans="1:17" ht="14.25" thickTop="1">
      <c r="A106" s="175"/>
      <c r="B106" s="1059" t="s">
        <v>1325</v>
      </c>
      <c r="C106" s="139" t="s">
        <v>1326</v>
      </c>
      <c r="D106" s="139" t="s">
        <v>1327</v>
      </c>
      <c r="E106" s="131" t="s">
        <v>1328</v>
      </c>
      <c r="F106" s="131"/>
      <c r="G106" s="131"/>
      <c r="H106" s="131"/>
      <c r="I106" s="131"/>
      <c r="J106" s="131"/>
      <c r="K106" s="132"/>
      <c r="L106" s="133"/>
      <c r="M106" s="134"/>
      <c r="N106" s="1393"/>
      <c r="O106" s="1393"/>
      <c r="P106" s="2356"/>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6"/>
      <c r="Q107" s="121"/>
    </row>
    <row r="108" spans="1:17" ht="14.25" thickTop="1">
      <c r="A108" s="175"/>
      <c r="B108" s="1059" t="s">
        <v>1329</v>
      </c>
      <c r="C108" s="139" t="s">
        <v>1330</v>
      </c>
      <c r="D108" s="139" t="s">
        <v>1331</v>
      </c>
      <c r="E108" s="139" t="s">
        <v>1332</v>
      </c>
      <c r="F108" s="131" t="s">
        <v>1333</v>
      </c>
      <c r="G108" s="131"/>
      <c r="H108" s="131"/>
      <c r="I108" s="131"/>
      <c r="J108" s="131"/>
      <c r="K108" s="132"/>
      <c r="L108" s="133"/>
      <c r="M108" s="134"/>
      <c r="N108" s="1393"/>
      <c r="O108" s="1393"/>
      <c r="P108" s="2356"/>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6"/>
      <c r="Q109" s="121"/>
    </row>
    <row r="110" spans="1:17" ht="15" thickTop="1">
      <c r="A110" s="175"/>
      <c r="B110" s="1059" t="s">
        <v>1334</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6"/>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6"/>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6"/>
      <c r="Q112" s="121"/>
    </row>
    <row r="113" spans="1:17" s="1044" customFormat="1" ht="14.25" thickTop="1">
      <c r="A113" s="1078"/>
      <c r="B113" s="1059" t="s">
        <v>1405</v>
      </c>
      <c r="C113" s="139" t="s">
        <v>1406</v>
      </c>
      <c r="D113" s="139" t="s">
        <v>1407</v>
      </c>
      <c r="E113" s="139" t="s">
        <v>1408</v>
      </c>
      <c r="F113" s="139"/>
      <c r="G113" s="139"/>
      <c r="H113" s="131"/>
      <c r="I113" s="131"/>
      <c r="J113" s="131"/>
      <c r="K113" s="132"/>
      <c r="L113" s="133"/>
      <c r="M113" s="134"/>
      <c r="N113" s="1395"/>
      <c r="O113" s="1395"/>
      <c r="P113" s="235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7"/>
      <c r="Q114" s="1068"/>
    </row>
    <row r="115" spans="1:17" ht="14.25" thickTop="1">
      <c r="A115" s="175"/>
      <c r="B115" s="1059" t="s">
        <v>1409</v>
      </c>
      <c r="C115" s="139" t="s">
        <v>1410</v>
      </c>
      <c r="D115" s="139" t="s">
        <v>1411</v>
      </c>
      <c r="E115" s="131"/>
      <c r="F115" s="131"/>
      <c r="G115" s="131"/>
      <c r="H115" s="131"/>
      <c r="I115" s="131"/>
      <c r="J115" s="131"/>
      <c r="K115" s="132"/>
      <c r="L115" s="133"/>
      <c r="M115" s="134"/>
      <c r="N115" s="1393"/>
      <c r="O115" s="1393"/>
      <c r="P115" s="2356"/>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6"/>
      <c r="Q116" s="121"/>
    </row>
    <row r="117" spans="1:17" ht="14.25" thickTop="1">
      <c r="A117" s="175"/>
      <c r="B117" s="1059" t="s">
        <v>3039</v>
      </c>
      <c r="C117" s="139" t="s">
        <v>1335</v>
      </c>
      <c r="D117" s="139" t="s">
        <v>1336</v>
      </c>
      <c r="E117" s="139" t="s">
        <v>1337</v>
      </c>
      <c r="F117" s="139" t="s">
        <v>1338</v>
      </c>
      <c r="G117" s="139" t="s">
        <v>1339</v>
      </c>
      <c r="H117" s="131"/>
      <c r="I117" s="131"/>
      <c r="J117" s="131"/>
      <c r="K117" s="132"/>
      <c r="L117" s="133"/>
      <c r="M117" s="134"/>
      <c r="N117" s="1393"/>
      <c r="O117" s="1393"/>
      <c r="P117" s="2356"/>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6"/>
      <c r="Q118" s="121"/>
    </row>
    <row r="119" spans="1:17" ht="14.25" thickTop="1">
      <c r="A119" s="175"/>
      <c r="B119" s="211" t="s">
        <v>1343</v>
      </c>
      <c r="C119" s="131" t="s">
        <v>1412</v>
      </c>
      <c r="D119" s="131" t="s">
        <v>1413</v>
      </c>
      <c r="E119" s="131"/>
      <c r="F119" s="131"/>
      <c r="G119" s="131"/>
      <c r="H119" s="131"/>
      <c r="I119" s="131"/>
      <c r="J119" s="131"/>
      <c r="K119" s="131"/>
      <c r="L119" s="198"/>
      <c r="M119" s="199"/>
      <c r="N119" s="1394"/>
      <c r="O119" s="1394"/>
      <c r="P119" s="2361"/>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6"/>
      <c r="Q120" s="121"/>
    </row>
    <row r="121" spans="1:17" s="1044" customFormat="1" ht="15" thickTop="1">
      <c r="A121" s="1078"/>
      <c r="B121" s="1059" t="s">
        <v>1346</v>
      </c>
      <c r="C121" s="901" t="s">
        <v>297</v>
      </c>
      <c r="D121" s="901" t="s">
        <v>293</v>
      </c>
      <c r="E121" s="901" t="s">
        <v>294</v>
      </c>
      <c r="F121" s="930" t="s">
        <v>298</v>
      </c>
      <c r="G121" s="902"/>
      <c r="H121" s="902"/>
      <c r="I121" s="902"/>
      <c r="J121" s="902"/>
      <c r="K121" s="902"/>
      <c r="L121" s="903"/>
      <c r="M121" s="904"/>
      <c r="N121" s="1395"/>
      <c r="O121" s="1395"/>
      <c r="P121" s="235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7"/>
      <c r="Q122" s="1068"/>
    </row>
    <row r="123" spans="1:17" ht="14.25" thickTop="1">
      <c r="A123" s="175"/>
      <c r="B123" s="1059" t="s">
        <v>1351</v>
      </c>
      <c r="C123" s="139" t="s">
        <v>1330</v>
      </c>
      <c r="D123" s="139" t="s">
        <v>1331</v>
      </c>
      <c r="E123" s="139" t="s">
        <v>1332</v>
      </c>
      <c r="F123" s="131" t="s">
        <v>1333</v>
      </c>
      <c r="G123" s="131"/>
      <c r="H123" s="131"/>
      <c r="I123" s="131"/>
      <c r="J123" s="131"/>
      <c r="K123" s="132"/>
      <c r="L123" s="133"/>
      <c r="M123" s="134"/>
      <c r="N123" s="1393"/>
      <c r="O123" s="1393"/>
      <c r="P123" s="2356"/>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6"/>
      <c r="Q124" s="121"/>
    </row>
    <row r="125" spans="1:17" ht="27.75" thickTop="1">
      <c r="A125" s="175"/>
      <c r="B125" s="1059" t="s">
        <v>1352</v>
      </c>
      <c r="C125" s="925" t="s">
        <v>1252</v>
      </c>
      <c r="D125" s="925" t="s">
        <v>1253</v>
      </c>
      <c r="E125" s="925" t="s">
        <v>1254</v>
      </c>
      <c r="F125" s="925" t="s">
        <v>1255</v>
      </c>
      <c r="G125" s="925" t="s">
        <v>1256</v>
      </c>
      <c r="H125" s="886"/>
      <c r="I125" s="886"/>
      <c r="J125" s="886"/>
      <c r="K125" s="887"/>
      <c r="L125" s="888"/>
      <c r="M125" s="889"/>
      <c r="N125" s="1393"/>
      <c r="O125" s="1393"/>
      <c r="P125" s="2357"/>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6"/>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7"/>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6"/>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6"/>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6"/>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1418</v>
      </c>
      <c r="B1" s="3160" t="s">
        <v>1419</v>
      </c>
      <c r="C1" s="3154" t="s">
        <v>1420</v>
      </c>
      <c r="D1" s="3145"/>
      <c r="E1" s="3150"/>
      <c r="F1" s="3147" t="s">
        <v>3098</v>
      </c>
      <c r="G1" s="3149" t="s">
        <v>1421</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1422</v>
      </c>
      <c r="B2" s="2883" t="e">
        <f ca="1">IF(C2="——",ROUND(B3*D3/10000,0),ROUND(B3*D3/10000,0)-D2)</f>
        <v>#DIV/0!</v>
      </c>
      <c r="C2" s="3139" t="s">
        <v>3100</v>
      </c>
      <c r="D2" s="2369" t="e">
        <f ca="1">SUMIF(INDIRECT("'"&amp;F2&amp;"'"&amp;"!A:A"),"承租人权益价值",INDIRECT("'"&amp;F2&amp;"'"&amp;"!c:c"))</f>
        <v>#N/A</v>
      </c>
      <c r="E2" s="3140" t="s">
        <v>1105</v>
      </c>
      <c r="F2" s="3141" t="s">
        <v>3072</v>
      </c>
      <c r="G2" s="2345"/>
      <c r="H2" s="2345"/>
      <c r="I2" s="2345"/>
      <c r="J2" s="2345"/>
      <c r="K2" s="2345"/>
      <c r="L2" s="2346"/>
      <c r="M2" s="2347"/>
      <c r="N2" s="2347"/>
      <c r="O2" s="2347"/>
      <c r="P2" s="1338"/>
      <c r="Q2" s="1338"/>
      <c r="R2" s="1338"/>
      <c r="S2" s="1338"/>
      <c r="T2" s="1338"/>
      <c r="U2" s="1338"/>
      <c r="V2" s="1338"/>
      <c r="W2" s="1338"/>
      <c r="X2" s="1338"/>
      <c r="Y2" s="1338"/>
      <c r="Z2" s="1338"/>
      <c r="AA2" s="1338"/>
      <c r="AB2" s="1338"/>
      <c r="AC2" s="1396"/>
    </row>
    <row r="3" spans="1:29" s="90" customFormat="1" ht="28.5" customHeight="1" thickBot="1">
      <c r="A3" s="87" t="s">
        <v>1423</v>
      </c>
      <c r="B3" s="956" t="e">
        <f>C43</f>
        <v>#DIV/0!</v>
      </c>
      <c r="C3" s="142" t="s">
        <v>1424</v>
      </c>
      <c r="D3" s="746">
        <f>IF(D1="",'数据-汇总表'!E3,SUMIF('数据-汇总表'!$C19:$C33,D1,'数据-汇总表'!$E19:$E33))</f>
        <v>144992.93</v>
      </c>
      <c r="E3" s="2345"/>
      <c r="F3" s="2344"/>
      <c r="G3" s="2345"/>
      <c r="H3" s="2345"/>
      <c r="I3" s="2345"/>
      <c r="J3" s="2345"/>
      <c r="K3" s="2348"/>
      <c r="L3" s="2346"/>
      <c r="M3" s="2347"/>
      <c r="N3" s="2347"/>
      <c r="O3" s="2347"/>
      <c r="P3" s="1338"/>
      <c r="Q3" s="1338"/>
      <c r="R3" s="1338"/>
      <c r="S3" s="1338"/>
      <c r="T3" s="1338"/>
      <c r="U3" s="1338"/>
      <c r="V3" s="1338"/>
      <c r="W3" s="1338"/>
      <c r="X3" s="1338"/>
      <c r="Y3" s="1338"/>
      <c r="Z3" s="1338"/>
      <c r="AA3" s="1338"/>
      <c r="AB3" s="1414"/>
      <c r="AC3" s="1396"/>
    </row>
    <row r="4" spans="1:29">
      <c r="A4" s="143" t="s">
        <v>1425</v>
      </c>
      <c r="B4" s="144"/>
      <c r="C4" s="3680" t="s">
        <v>1426</v>
      </c>
      <c r="D4" s="3681"/>
      <c r="E4" s="3682" t="s">
        <v>1427</v>
      </c>
      <c r="F4" s="3683"/>
      <c r="G4" s="3680" t="s">
        <v>1428</v>
      </c>
      <c r="H4" s="3681"/>
      <c r="I4" s="3680" t="s">
        <v>1429</v>
      </c>
      <c r="J4" s="3681"/>
      <c r="K4" s="187" t="s">
        <v>1430</v>
      </c>
      <c r="L4" s="2322"/>
      <c r="M4" s="2323"/>
      <c r="N4" s="2323"/>
      <c r="O4" s="2323"/>
      <c r="P4" s="3684" t="s">
        <v>1425</v>
      </c>
      <c r="Q4" s="3685"/>
      <c r="R4" s="3673" t="s">
        <v>1427</v>
      </c>
      <c r="S4" s="3674"/>
      <c r="T4" s="3673" t="s">
        <v>1428</v>
      </c>
      <c r="U4" s="3674"/>
      <c r="V4" s="3692" t="s">
        <v>1429</v>
      </c>
      <c r="W4" s="3692"/>
      <c r="X4" s="1344"/>
      <c r="Y4" s="3673" t="s">
        <v>1425</v>
      </c>
      <c r="Z4" s="3674"/>
      <c r="AA4" s="3668" t="s">
        <v>1427</v>
      </c>
      <c r="AB4" s="3669" t="s">
        <v>1428</v>
      </c>
      <c r="AC4" s="3668" t="s">
        <v>1429</v>
      </c>
    </row>
    <row r="5" spans="1:29">
      <c r="A5" s="146"/>
      <c r="B5" s="147"/>
      <c r="C5" s="3631" t="s">
        <v>1431</v>
      </c>
      <c r="D5" s="3632"/>
      <c r="E5" s="3629" t="s">
        <v>1432</v>
      </c>
      <c r="F5" s="3630"/>
      <c r="G5" s="3631" t="s">
        <v>1433</v>
      </c>
      <c r="H5" s="3632"/>
      <c r="I5" s="3631" t="s">
        <v>1434</v>
      </c>
      <c r="J5" s="3632"/>
      <c r="K5" s="187"/>
      <c r="L5" s="2322"/>
      <c r="M5" s="2323"/>
      <c r="N5" s="2323"/>
      <c r="O5" s="2323"/>
      <c r="P5" s="3686"/>
      <c r="Q5" s="3687"/>
      <c r="R5" s="3675"/>
      <c r="S5" s="3676"/>
      <c r="T5" s="3675"/>
      <c r="U5" s="3676"/>
      <c r="V5" s="3692"/>
      <c r="W5" s="3692"/>
      <c r="X5" s="1344"/>
      <c r="Y5" s="3675"/>
      <c r="Z5" s="3676"/>
      <c r="AA5" s="3669"/>
      <c r="AB5" s="3669"/>
      <c r="AC5" s="3669"/>
    </row>
    <row r="6" spans="1:29" ht="14.25" thickBot="1">
      <c r="A6" s="148"/>
      <c r="B6" s="149"/>
      <c r="C6" s="3633" t="s">
        <v>1435</v>
      </c>
      <c r="D6" s="3634"/>
      <c r="E6" s="3677" t="s">
        <v>1435</v>
      </c>
      <c r="F6" s="3678"/>
      <c r="G6" s="3633" t="s">
        <v>1435</v>
      </c>
      <c r="H6" s="3634"/>
      <c r="I6" s="3633" t="s">
        <v>1435</v>
      </c>
      <c r="J6" s="3634"/>
      <c r="K6" s="187" t="s">
        <v>1436</v>
      </c>
      <c r="L6" s="2322"/>
      <c r="M6" s="2323"/>
      <c r="N6" s="2323"/>
      <c r="O6" s="2323"/>
      <c r="P6" s="3688"/>
      <c r="Q6" s="3689"/>
      <c r="R6" s="3675"/>
      <c r="S6" s="3676"/>
      <c r="T6" s="3690"/>
      <c r="U6" s="3691"/>
      <c r="V6" s="3692"/>
      <c r="W6" s="3692"/>
      <c r="X6" s="1344"/>
      <c r="Y6" s="3690"/>
      <c r="Z6" s="3691"/>
      <c r="AA6" s="3670"/>
      <c r="AB6" s="3670"/>
      <c r="AC6" s="3670"/>
    </row>
    <row r="7" spans="1:29" s="40" customFormat="1" ht="15" thickBot="1">
      <c r="A7" s="1018" t="s">
        <v>1437</v>
      </c>
      <c r="B7" s="1019"/>
      <c r="C7" s="757">
        <f>'数据-取费表'!B2</f>
        <v>42959</v>
      </c>
      <c r="D7" s="758">
        <v>100</v>
      </c>
      <c r="E7" s="1021">
        <v>42007</v>
      </c>
      <c r="F7" s="760">
        <f>SUMIF(52:52,YEAR(E7)&amp;"-"&amp;MONTH(E7),53:53)</f>
        <v>0</v>
      </c>
      <c r="G7" s="1022">
        <v>41918</v>
      </c>
      <c r="H7" s="758">
        <f>SUMIF(52:52,YEAR(G7)&amp;"-"&amp;MONTH(G7),53:53)</f>
        <v>0</v>
      </c>
      <c r="I7" s="1022">
        <v>42003</v>
      </c>
      <c r="J7" s="758">
        <f>SUMIF(52:52,YEAR(I7)&amp;"-"&amp;MONTH(I7),53:53)</f>
        <v>0</v>
      </c>
      <c r="K7" s="1023"/>
      <c r="L7" s="2324"/>
      <c r="M7" s="2286"/>
      <c r="N7" s="2286"/>
      <c r="O7" s="2286"/>
      <c r="P7" s="3671" t="s">
        <v>1437</v>
      </c>
      <c r="Q7" s="3693"/>
      <c r="R7" s="1346" t="s">
        <v>70</v>
      </c>
      <c r="S7" s="1347">
        <f t="shared" ref="S7:S15" si="0">F7</f>
        <v>0</v>
      </c>
      <c r="T7" s="1346" t="s">
        <v>70</v>
      </c>
      <c r="U7" s="1347">
        <f t="shared" ref="U7:U15" si="1">H7</f>
        <v>0</v>
      </c>
      <c r="V7" s="1346" t="s">
        <v>70</v>
      </c>
      <c r="W7" s="1347">
        <f t="shared" ref="W7:W15" si="2">J7</f>
        <v>0</v>
      </c>
      <c r="X7" s="293"/>
      <c r="Y7" s="3671" t="s">
        <v>1437</v>
      </c>
      <c r="Z7" s="3672"/>
      <c r="AA7" s="1348" t="e">
        <f>D7/F7</f>
        <v>#DIV/0!</v>
      </c>
      <c r="AB7" s="1348" t="e">
        <f>D7/H7</f>
        <v>#DIV/0!</v>
      </c>
      <c r="AC7" s="1348" t="e">
        <f>D7/J7</f>
        <v>#DIV/0!</v>
      </c>
    </row>
    <row r="8" spans="1:29" s="40" customFormat="1" ht="15" thickBot="1">
      <c r="A8" s="1018" t="s">
        <v>1438</v>
      </c>
      <c r="B8" s="1019"/>
      <c r="C8" s="1024" t="s">
        <v>1439</v>
      </c>
      <c r="D8" s="758">
        <v>100</v>
      </c>
      <c r="E8" s="1024" t="s">
        <v>1439</v>
      </c>
      <c r="F8" s="760">
        <f>SUMIF(55:55,E8,56:56)-SUMIF(55:55,C8,56:56)+100</f>
        <v>100</v>
      </c>
      <c r="G8" s="1024" t="s">
        <v>258</v>
      </c>
      <c r="H8" s="758">
        <f>SUMIF(55:55,G8,56:56)-SUMIF(55:55,C8,56:56)+100</f>
        <v>98</v>
      </c>
      <c r="I8" s="1024" t="s">
        <v>1257</v>
      </c>
      <c r="J8" s="758">
        <f>SUMIF(55:55,I8,56:56)-SUMIF(55:55,C8,56:56)+100</f>
        <v>100</v>
      </c>
      <c r="K8" s="1023"/>
      <c r="L8" s="2324"/>
      <c r="M8" s="2286"/>
      <c r="N8" s="2286"/>
      <c r="O8" s="2286"/>
      <c r="P8" s="3671" t="s">
        <v>1258</v>
      </c>
      <c r="Q8" s="3672"/>
      <c r="R8" s="1346" t="s">
        <v>70</v>
      </c>
      <c r="S8" s="1347">
        <f t="shared" si="0"/>
        <v>100</v>
      </c>
      <c r="T8" s="1346" t="s">
        <v>70</v>
      </c>
      <c r="U8" s="1347">
        <f t="shared" si="1"/>
        <v>98</v>
      </c>
      <c r="V8" s="1346" t="s">
        <v>70</v>
      </c>
      <c r="W8" s="1347">
        <f t="shared" si="2"/>
        <v>100</v>
      </c>
      <c r="X8" s="293"/>
      <c r="Y8" s="3671" t="s">
        <v>1258</v>
      </c>
      <c r="Z8" s="3672"/>
      <c r="AA8" s="1348">
        <f t="shared" ref="AA8:AA40" si="3">D8/F8</f>
        <v>1</v>
      </c>
      <c r="AB8" s="1348">
        <f t="shared" ref="AB8:AB40" si="4">D8/H8</f>
        <v>1.0204081632653061</v>
      </c>
      <c r="AC8" s="1348">
        <f t="shared" ref="AC8:AC40" si="5">D8/J8</f>
        <v>1</v>
      </c>
    </row>
    <row r="9" spans="1:29" s="40" customFormat="1" ht="14.25">
      <c r="A9" s="1025" t="s">
        <v>1259</v>
      </c>
      <c r="B9" s="62" t="s">
        <v>1260</v>
      </c>
      <c r="C9" s="1350" t="s">
        <v>1440</v>
      </c>
      <c r="D9" s="429">
        <v>100</v>
      </c>
      <c r="E9" s="1352" t="s">
        <v>40</v>
      </c>
      <c r="F9" s="429">
        <f>SUMIF(57:57,E9,58:58)-SUMIF(57:57,C9,58:58)+100</f>
        <v>100</v>
      </c>
      <c r="G9" s="1351" t="s">
        <v>40</v>
      </c>
      <c r="H9" s="429">
        <f>SUMIF(57:57,G9,58:58)-SUMIF(57:57,C9,58:58)+100</f>
        <v>100</v>
      </c>
      <c r="I9" s="1351" t="s">
        <v>303</v>
      </c>
      <c r="J9" s="429">
        <f>SUMIF(57:57,I9,58:58)-SUMIF(57:57,C9,58:58)+100</f>
        <v>105</v>
      </c>
      <c r="K9" s="1023"/>
      <c r="L9" s="2324"/>
      <c r="M9" s="2286"/>
      <c r="N9" s="2286"/>
      <c r="O9" s="2365"/>
      <c r="P9" s="3697" t="s">
        <v>72</v>
      </c>
      <c r="Q9" s="7" t="str">
        <f t="shared" ref="Q9:Q15" si="6">B9</f>
        <v>用途</v>
      </c>
      <c r="R9" s="1346" t="s">
        <v>70</v>
      </c>
      <c r="S9" s="1347">
        <f t="shared" si="0"/>
        <v>100</v>
      </c>
      <c r="T9" s="1346" t="s">
        <v>70</v>
      </c>
      <c r="U9" s="1347">
        <f t="shared" si="1"/>
        <v>100</v>
      </c>
      <c r="V9" s="1346" t="s">
        <v>70</v>
      </c>
      <c r="W9" s="1347">
        <f t="shared" si="2"/>
        <v>105</v>
      </c>
      <c r="X9" s="293"/>
      <c r="Y9" s="3491" t="s">
        <v>72</v>
      </c>
      <c r="Z9" s="294" t="str">
        <f t="shared" ref="Z9:Z15" si="7">Q9</f>
        <v>用途</v>
      </c>
      <c r="AA9" s="1348">
        <f t="shared" si="3"/>
        <v>1</v>
      </c>
      <c r="AB9" s="1348">
        <f t="shared" si="4"/>
        <v>1</v>
      </c>
      <c r="AC9" s="1348">
        <f t="shared" si="5"/>
        <v>0.95238095238095233</v>
      </c>
    </row>
    <row r="10" spans="1:29" s="92" customFormat="1" ht="27">
      <c r="A10" s="150"/>
      <c r="B10" s="12" t="s">
        <v>125</v>
      </c>
      <c r="C10" s="1353" t="s">
        <v>285</v>
      </c>
      <c r="D10" s="430">
        <v>100</v>
      </c>
      <c r="E10" s="1353" t="s">
        <v>286</v>
      </c>
      <c r="F10" s="430">
        <f>SUMIF(59:59,E10,60:60)-SUMIF(59:59,C10,60:60)+100</f>
        <v>98</v>
      </c>
      <c r="G10" s="1354" t="s">
        <v>287</v>
      </c>
      <c r="H10" s="430">
        <f>SUMIF(59:59,G10,60:60)-SUMIF(59:59,C10,60:60)+100</f>
        <v>96</v>
      </c>
      <c r="I10" s="1353" t="s">
        <v>288</v>
      </c>
      <c r="J10" s="430">
        <f>SUMIF(59:59,I10,60:60)-SUMIF(59:59,C10,60:60)+100</f>
        <v>94</v>
      </c>
      <c r="K10" s="959">
        <v>2</v>
      </c>
      <c r="L10" s="2325"/>
      <c r="M10" s="2326"/>
      <c r="N10" s="2326"/>
      <c r="O10" s="2366"/>
      <c r="P10" s="3697"/>
      <c r="Q10" s="7" t="str">
        <f t="shared" si="6"/>
        <v>土地使用年限（年）</v>
      </c>
      <c r="R10" s="1346" t="s">
        <v>70</v>
      </c>
      <c r="S10" s="1347">
        <f t="shared" si="0"/>
        <v>98</v>
      </c>
      <c r="T10" s="1346" t="s">
        <v>70</v>
      </c>
      <c r="U10" s="1347">
        <f t="shared" si="1"/>
        <v>96</v>
      </c>
      <c r="V10" s="1346" t="s">
        <v>70</v>
      </c>
      <c r="W10" s="1347">
        <f t="shared" si="2"/>
        <v>94</v>
      </c>
      <c r="X10" s="293"/>
      <c r="Y10" s="3491"/>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7"/>
      <c r="M11" s="2323"/>
      <c r="N11" s="2323"/>
      <c r="O11" s="2367"/>
      <c r="P11" s="3697"/>
      <c r="Q11" s="7" t="str">
        <f t="shared" si="6"/>
        <v>容积率</v>
      </c>
      <c r="R11" s="1346" t="s">
        <v>70</v>
      </c>
      <c r="S11" s="1347">
        <f t="shared" si="0"/>
        <v>97</v>
      </c>
      <c r="T11" s="1346" t="s">
        <v>70</v>
      </c>
      <c r="U11" s="1347">
        <f t="shared" si="1"/>
        <v>94</v>
      </c>
      <c r="V11" s="1346" t="s">
        <v>70</v>
      </c>
      <c r="W11" s="1347">
        <f t="shared" si="2"/>
        <v>91</v>
      </c>
      <c r="X11" s="293"/>
      <c r="Y11" s="3491"/>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4"/>
      <c r="M12" s="2286"/>
      <c r="N12" s="2286"/>
      <c r="O12" s="2365"/>
      <c r="P12" s="3697"/>
      <c r="Q12" s="7">
        <f t="shared" si="6"/>
        <v>111</v>
      </c>
      <c r="R12" s="1346" t="s">
        <v>70</v>
      </c>
      <c r="S12" s="1347">
        <f t="shared" si="0"/>
        <v>100</v>
      </c>
      <c r="T12" s="1346" t="s">
        <v>70</v>
      </c>
      <c r="U12" s="1347">
        <f t="shared" si="1"/>
        <v>100</v>
      </c>
      <c r="V12" s="1346" t="s">
        <v>70</v>
      </c>
      <c r="W12" s="1347">
        <f t="shared" si="2"/>
        <v>100</v>
      </c>
      <c r="X12" s="293"/>
      <c r="Y12" s="3491"/>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8"/>
      <c r="M13" s="2323"/>
      <c r="N13" s="2323"/>
      <c r="O13" s="2367"/>
      <c r="P13" s="3697"/>
      <c r="Q13" s="7">
        <f t="shared" si="6"/>
        <v>111</v>
      </c>
      <c r="R13" s="1346" t="s">
        <v>70</v>
      </c>
      <c r="S13" s="1347">
        <f t="shared" si="0"/>
        <v>100</v>
      </c>
      <c r="T13" s="1346" t="s">
        <v>70</v>
      </c>
      <c r="U13" s="1347">
        <f t="shared" si="1"/>
        <v>100</v>
      </c>
      <c r="V13" s="1346" t="s">
        <v>70</v>
      </c>
      <c r="W13" s="1347">
        <f t="shared" si="2"/>
        <v>100</v>
      </c>
      <c r="X13" s="293"/>
      <c r="Y13" s="3491"/>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8"/>
      <c r="M14" s="2323"/>
      <c r="N14" s="2323"/>
      <c r="O14" s="2367"/>
      <c r="P14" s="3697"/>
      <c r="Q14" s="7">
        <f t="shared" si="6"/>
        <v>111</v>
      </c>
      <c r="R14" s="1346" t="s">
        <v>70</v>
      </c>
      <c r="S14" s="1347">
        <f t="shared" si="0"/>
        <v>100</v>
      </c>
      <c r="T14" s="1346" t="s">
        <v>70</v>
      </c>
      <c r="U14" s="1347">
        <f t="shared" si="1"/>
        <v>100</v>
      </c>
      <c r="V14" s="1346" t="s">
        <v>70</v>
      </c>
      <c r="W14" s="1347">
        <f t="shared" si="2"/>
        <v>100</v>
      </c>
      <c r="X14" s="293"/>
      <c r="Y14" s="3491"/>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8"/>
      <c r="M15" s="2323"/>
      <c r="N15" s="2323"/>
      <c r="O15" s="2367"/>
      <c r="P15" s="3699" t="s">
        <v>74</v>
      </c>
      <c r="Q15" s="1355" t="str">
        <f t="shared" si="6"/>
        <v>产业集聚程度</v>
      </c>
      <c r="R15" s="1356" t="s">
        <v>70</v>
      </c>
      <c r="S15" s="1357">
        <f t="shared" si="0"/>
        <v>100</v>
      </c>
      <c r="T15" s="1356" t="s">
        <v>70</v>
      </c>
      <c r="U15" s="1357">
        <f t="shared" si="1"/>
        <v>100</v>
      </c>
      <c r="V15" s="1356" t="s">
        <v>70</v>
      </c>
      <c r="W15" s="1357">
        <f t="shared" si="2"/>
        <v>100</v>
      </c>
      <c r="X15" s="1344"/>
      <c r="Y15" s="3699" t="s">
        <v>74</v>
      </c>
      <c r="Z15" s="1358" t="str">
        <f t="shared" si="7"/>
        <v>产业集聚程度</v>
      </c>
      <c r="AA15" s="1359">
        <f t="shared" si="3"/>
        <v>1</v>
      </c>
      <c r="AB15" s="1359">
        <f t="shared" si="4"/>
        <v>1</v>
      </c>
      <c r="AC15" s="1359">
        <f t="shared" si="5"/>
        <v>1</v>
      </c>
    </row>
    <row r="16" spans="1:29" ht="14.25">
      <c r="A16" s="151"/>
      <c r="B16" s="156"/>
      <c r="C16" s="97" t="s">
        <v>123</v>
      </c>
      <c r="D16" s="796"/>
      <c r="E16" s="97" t="s">
        <v>2797</v>
      </c>
      <c r="F16" s="797"/>
      <c r="G16" s="97" t="s">
        <v>123</v>
      </c>
      <c r="H16" s="798"/>
      <c r="I16" s="97" t="s">
        <v>123</v>
      </c>
      <c r="J16" s="796"/>
      <c r="K16" s="189"/>
      <c r="L16" s="2328"/>
      <c r="M16" s="2323"/>
      <c r="N16" s="2323"/>
      <c r="O16" s="2367"/>
      <c r="P16" s="3700"/>
      <c r="Q16" s="1355"/>
      <c r="R16" s="1356"/>
      <c r="S16" s="1357"/>
      <c r="T16" s="1356"/>
      <c r="U16" s="1357"/>
      <c r="V16" s="1356"/>
      <c r="W16" s="1357"/>
      <c r="X16" s="1344"/>
      <c r="Y16" s="3700"/>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8"/>
      <c r="M17" s="2323"/>
      <c r="N17" s="2323"/>
      <c r="O17" s="2367"/>
      <c r="P17" s="3700"/>
      <c r="Q17" s="1355" t="str">
        <f>B17</f>
        <v>交通便捷度</v>
      </c>
      <c r="R17" s="1356" t="s">
        <v>70</v>
      </c>
      <c r="S17" s="1357">
        <f>F17</f>
        <v>97</v>
      </c>
      <c r="T17" s="1356" t="s">
        <v>70</v>
      </c>
      <c r="U17" s="1357">
        <f>H17</f>
        <v>106</v>
      </c>
      <c r="V17" s="1356" t="s">
        <v>70</v>
      </c>
      <c r="W17" s="1357">
        <f>J17</f>
        <v>97</v>
      </c>
      <c r="X17" s="1344"/>
      <c r="Y17" s="3700"/>
      <c r="Z17" s="1358" t="str">
        <f>Q17</f>
        <v>交通便捷度</v>
      </c>
      <c r="AA17" s="1359">
        <f t="shared" si="3"/>
        <v>1.0309278350515463</v>
      </c>
      <c r="AB17" s="1359">
        <f t="shared" si="4"/>
        <v>0.94339622641509435</v>
      </c>
      <c r="AC17" s="1359">
        <f t="shared" si="5"/>
        <v>1.0309278350515463</v>
      </c>
    </row>
    <row r="18" spans="1:29" ht="14.25">
      <c r="A18" s="151"/>
      <c r="B18" s="1045"/>
      <c r="C18" s="102" t="s">
        <v>2798</v>
      </c>
      <c r="D18" s="798"/>
      <c r="E18" s="103" t="s">
        <v>153</v>
      </c>
      <c r="F18" s="801"/>
      <c r="G18" s="104" t="s">
        <v>122</v>
      </c>
      <c r="H18" s="796"/>
      <c r="I18" s="103" t="s">
        <v>153</v>
      </c>
      <c r="J18" s="796"/>
      <c r="K18" s="189"/>
      <c r="L18" s="2328"/>
      <c r="M18" s="2323"/>
      <c r="N18" s="2323"/>
      <c r="O18" s="2367"/>
      <c r="P18" s="3700"/>
      <c r="Q18" s="1355"/>
      <c r="R18" s="1356"/>
      <c r="S18" s="1357"/>
      <c r="T18" s="1356"/>
      <c r="U18" s="1357"/>
      <c r="V18" s="1356"/>
      <c r="W18" s="1357"/>
      <c r="X18" s="1344"/>
      <c r="Y18" s="3700"/>
      <c r="Z18" s="1358"/>
      <c r="AA18" s="1359">
        <v>1</v>
      </c>
      <c r="AB18" s="1359">
        <v>1</v>
      </c>
      <c r="AC18" s="1359">
        <v>1</v>
      </c>
    </row>
    <row r="19" spans="1:29" ht="40.5">
      <c r="A19" s="151"/>
      <c r="B19" s="1360" t="s">
        <v>3062</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8"/>
      <c r="M19" s="2323"/>
      <c r="N19" s="2323"/>
      <c r="O19" s="2367"/>
      <c r="P19" s="3700"/>
      <c r="Q19" s="1355" t="str">
        <f>B19</f>
        <v>公共配套设施</v>
      </c>
      <c r="R19" s="1356" t="s">
        <v>70</v>
      </c>
      <c r="S19" s="1357">
        <f>F19</f>
        <v>101</v>
      </c>
      <c r="T19" s="1356" t="s">
        <v>70</v>
      </c>
      <c r="U19" s="1357">
        <f>H19</f>
        <v>103</v>
      </c>
      <c r="V19" s="1356" t="s">
        <v>70</v>
      </c>
      <c r="W19" s="1357">
        <f>J19</f>
        <v>100</v>
      </c>
      <c r="X19" s="1344"/>
      <c r="Y19" s="3700"/>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8"/>
      <c r="M20" s="2323"/>
      <c r="N20" s="2323"/>
      <c r="O20" s="2367"/>
      <c r="P20" s="3700"/>
      <c r="Q20" s="1355"/>
      <c r="R20" s="1356"/>
      <c r="S20" s="1357"/>
      <c r="T20" s="1356"/>
      <c r="U20" s="1357"/>
      <c r="V20" s="1356"/>
      <c r="W20" s="1357"/>
      <c r="X20" s="1344"/>
      <c r="Y20" s="3700"/>
      <c r="Z20" s="1358"/>
      <c r="AA20" s="1359">
        <v>1</v>
      </c>
      <c r="AB20" s="1359">
        <v>1</v>
      </c>
      <c r="AC20" s="1359">
        <v>1</v>
      </c>
    </row>
    <row r="21" spans="1:29" ht="40.5">
      <c r="A21" s="151"/>
      <c r="B21" s="1416" t="s">
        <v>3065</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8"/>
      <c r="M21" s="2323"/>
      <c r="N21" s="2323"/>
      <c r="O21" s="2367"/>
      <c r="P21" s="3700"/>
      <c r="Q21" s="2782" t="str">
        <f>B21</f>
        <v>基础设施水平</v>
      </c>
      <c r="R21" s="1356" t="s">
        <v>70</v>
      </c>
      <c r="S21" s="1357">
        <f>F21</f>
        <v>98</v>
      </c>
      <c r="T21" s="1356" t="s">
        <v>70</v>
      </c>
      <c r="U21" s="1357">
        <f>H21</f>
        <v>96</v>
      </c>
      <c r="V21" s="1356" t="s">
        <v>70</v>
      </c>
      <c r="W21" s="1357">
        <f>J21</f>
        <v>94</v>
      </c>
      <c r="X21" s="2784"/>
      <c r="Y21" s="3700"/>
      <c r="Z21" s="2783"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2"/>
      <c r="L22" s="2328"/>
      <c r="M22" s="2323"/>
      <c r="N22" s="2323"/>
      <c r="O22" s="2367"/>
      <c r="P22" s="3700"/>
      <c r="Q22" s="2782"/>
      <c r="R22" s="1356"/>
      <c r="S22" s="1357"/>
      <c r="T22" s="1356"/>
      <c r="U22" s="1357"/>
      <c r="V22" s="1356"/>
      <c r="W22" s="1357"/>
      <c r="X22" s="2784"/>
      <c r="Y22" s="3700"/>
      <c r="Z22" s="2783"/>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8"/>
      <c r="M23" s="2323"/>
      <c r="N23" s="2323"/>
      <c r="O23" s="2367"/>
      <c r="P23" s="3700"/>
      <c r="Q23" s="1355" t="str">
        <f>B23</f>
        <v>环境质量</v>
      </c>
      <c r="R23" s="1356" t="s">
        <v>70</v>
      </c>
      <c r="S23" s="1357">
        <f>F23</f>
        <v>96</v>
      </c>
      <c r="T23" s="1356" t="s">
        <v>70</v>
      </c>
      <c r="U23" s="1357">
        <f>H23</f>
        <v>98</v>
      </c>
      <c r="V23" s="1356" t="s">
        <v>70</v>
      </c>
      <c r="W23" s="1357">
        <f>J23</f>
        <v>94</v>
      </c>
      <c r="X23" s="1344"/>
      <c r="Y23" s="3700"/>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8"/>
      <c r="M24" s="2323"/>
      <c r="N24" s="2323"/>
      <c r="O24" s="2367"/>
      <c r="P24" s="3700"/>
      <c r="Q24" s="1355"/>
      <c r="R24" s="1356"/>
      <c r="S24" s="1357"/>
      <c r="T24" s="1356"/>
      <c r="U24" s="1357"/>
      <c r="V24" s="1356"/>
      <c r="W24" s="1357"/>
      <c r="X24" s="1344"/>
      <c r="Y24" s="3700"/>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8"/>
      <c r="M25" s="2323"/>
      <c r="N25" s="2323"/>
      <c r="O25" s="2367"/>
      <c r="P25" s="3700"/>
      <c r="Q25" s="1355">
        <f>B25</f>
        <v>111</v>
      </c>
      <c r="R25" s="1356" t="s">
        <v>70</v>
      </c>
      <c r="S25" s="1357">
        <f>F25</f>
        <v>100</v>
      </c>
      <c r="T25" s="1356" t="s">
        <v>70</v>
      </c>
      <c r="U25" s="1357">
        <f>H25</f>
        <v>100</v>
      </c>
      <c r="V25" s="1356" t="s">
        <v>70</v>
      </c>
      <c r="W25" s="1357">
        <f>J25</f>
        <v>100</v>
      </c>
      <c r="X25" s="1344"/>
      <c r="Y25" s="3700"/>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8"/>
      <c r="M26" s="2323"/>
      <c r="N26" s="2323"/>
      <c r="O26" s="2367"/>
      <c r="P26" s="3700"/>
      <c r="Q26" s="1355">
        <f t="shared" ref="Q26:Q40" si="11">B26</f>
        <v>111</v>
      </c>
      <c r="R26" s="1356" t="s">
        <v>70</v>
      </c>
      <c r="S26" s="1357">
        <f>F26</f>
        <v>100</v>
      </c>
      <c r="T26" s="1356" t="s">
        <v>70</v>
      </c>
      <c r="U26" s="1357">
        <f>H26</f>
        <v>100</v>
      </c>
      <c r="V26" s="1356" t="s">
        <v>70</v>
      </c>
      <c r="W26" s="1357">
        <f>J26</f>
        <v>100</v>
      </c>
      <c r="X26" s="1344"/>
      <c r="Y26" s="3700"/>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4"/>
      <c r="M27" s="2286"/>
      <c r="N27" s="2286"/>
      <c r="O27" s="2365"/>
      <c r="P27" s="3700"/>
      <c r="Q27" s="7">
        <f t="shared" si="11"/>
        <v>111</v>
      </c>
      <c r="R27" s="1346" t="s">
        <v>70</v>
      </c>
      <c r="S27" s="1347">
        <f>F27</f>
        <v>100</v>
      </c>
      <c r="T27" s="1346" t="s">
        <v>70</v>
      </c>
      <c r="U27" s="1347">
        <f>H27</f>
        <v>100</v>
      </c>
      <c r="V27" s="1346" t="s">
        <v>70</v>
      </c>
      <c r="W27" s="1347">
        <f>J27</f>
        <v>100</v>
      </c>
      <c r="X27" s="293"/>
      <c r="Y27" s="3700"/>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8"/>
      <c r="M28" s="2323"/>
      <c r="N28" s="2323"/>
      <c r="O28" s="2367"/>
      <c r="P28" s="3700"/>
      <c r="Q28" s="1355">
        <f t="shared" si="11"/>
        <v>111</v>
      </c>
      <c r="R28" s="1356" t="s">
        <v>70</v>
      </c>
      <c r="S28" s="1357">
        <f t="shared" ref="S28:S40" si="12">F28</f>
        <v>100</v>
      </c>
      <c r="T28" s="1356" t="s">
        <v>70</v>
      </c>
      <c r="U28" s="1357">
        <f t="shared" ref="U28:U40" si="13">H28</f>
        <v>100</v>
      </c>
      <c r="V28" s="1356" t="s">
        <v>70</v>
      </c>
      <c r="W28" s="1357">
        <f t="shared" ref="W28:W40" si="14">J28</f>
        <v>100</v>
      </c>
      <c r="X28" s="1344"/>
      <c r="Y28" s="3700"/>
      <c r="Z28" s="1358">
        <f t="shared" ref="Z28:Z40" si="15">Q28</f>
        <v>111</v>
      </c>
      <c r="AA28" s="1359">
        <f t="shared" si="3"/>
        <v>1</v>
      </c>
      <c r="AB28" s="1359">
        <f t="shared" si="4"/>
        <v>1</v>
      </c>
      <c r="AC28" s="1359">
        <f t="shared" si="5"/>
        <v>1</v>
      </c>
    </row>
    <row r="29" spans="1:29" ht="15">
      <c r="A29" s="160" t="s">
        <v>75</v>
      </c>
      <c r="B29" s="62" t="s">
        <v>214</v>
      </c>
      <c r="C29" s="197" t="s">
        <v>242</v>
      </c>
      <c r="D29" s="814">
        <v>100</v>
      </c>
      <c r="E29" s="197" t="s">
        <v>305</v>
      </c>
      <c r="F29" s="809">
        <f>SUMIF(88:88,E29,89:89)-SUMIF(88:88,C29,89:89)+100</f>
        <v>97</v>
      </c>
      <c r="G29" s="197" t="s">
        <v>242</v>
      </c>
      <c r="H29" s="783">
        <f>SUMIF(88:88,G29,89:89)-SUMIF(88:88,C29,89:89)+100</f>
        <v>100</v>
      </c>
      <c r="I29" s="197" t="s">
        <v>305</v>
      </c>
      <c r="J29" s="814">
        <f>SUMIF(88:88,I29,89:89)-SUMIF(88:88,C29,89:89)+100</f>
        <v>97</v>
      </c>
      <c r="K29" s="959">
        <v>3</v>
      </c>
      <c r="L29" s="2328"/>
      <c r="M29" s="2323"/>
      <c r="N29" s="2323"/>
      <c r="O29" s="2367"/>
      <c r="P29" s="3746" t="s">
        <v>1441</v>
      </c>
      <c r="Q29" s="1355" t="str">
        <f t="shared" si="11"/>
        <v>建筑类型</v>
      </c>
      <c r="R29" s="1356" t="s">
        <v>70</v>
      </c>
      <c r="S29" s="1357">
        <f t="shared" si="12"/>
        <v>97</v>
      </c>
      <c r="T29" s="1356" t="s">
        <v>70</v>
      </c>
      <c r="U29" s="1357">
        <f t="shared" si="13"/>
        <v>100</v>
      </c>
      <c r="V29" s="1356" t="s">
        <v>70</v>
      </c>
      <c r="W29" s="1357">
        <f t="shared" si="14"/>
        <v>97</v>
      </c>
      <c r="X29" s="1344"/>
      <c r="Y29" s="3704" t="s">
        <v>1441</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7"/>
      <c r="M30" s="2329"/>
      <c r="N30" s="2329"/>
      <c r="O30" s="2368"/>
      <c r="P30" s="3704"/>
      <c r="Q30" s="1363" t="str">
        <f t="shared" si="11"/>
        <v>项目建筑规模</v>
      </c>
      <c r="R30" s="1364" t="s">
        <v>70</v>
      </c>
      <c r="S30" s="1365">
        <f t="shared" si="12"/>
        <v>92</v>
      </c>
      <c r="T30" s="1364" t="s">
        <v>70</v>
      </c>
      <c r="U30" s="1365">
        <f t="shared" si="13"/>
        <v>94</v>
      </c>
      <c r="V30" s="1364" t="s">
        <v>70</v>
      </c>
      <c r="W30" s="1365">
        <f t="shared" si="14"/>
        <v>96</v>
      </c>
      <c r="X30" s="1366"/>
      <c r="Y30" s="3704"/>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8"/>
      <c r="M31" s="2323"/>
      <c r="N31" s="2323"/>
      <c r="O31" s="2367"/>
      <c r="P31" s="3704"/>
      <c r="Q31" s="1355" t="str">
        <f t="shared" si="11"/>
        <v>建筑结构</v>
      </c>
      <c r="R31" s="1356" t="s">
        <v>70</v>
      </c>
      <c r="S31" s="1357">
        <f t="shared" si="12"/>
        <v>97</v>
      </c>
      <c r="T31" s="1356" t="s">
        <v>70</v>
      </c>
      <c r="U31" s="1357">
        <f t="shared" si="13"/>
        <v>94</v>
      </c>
      <c r="V31" s="1356" t="s">
        <v>70</v>
      </c>
      <c r="W31" s="1357">
        <f t="shared" si="14"/>
        <v>100</v>
      </c>
      <c r="X31" s="1344"/>
      <c r="Y31" s="3704"/>
      <c r="Z31" s="1358" t="str">
        <f t="shared" si="15"/>
        <v>建筑结构</v>
      </c>
      <c r="AA31" s="1359">
        <f t="shared" si="3"/>
        <v>1.0309278350515463</v>
      </c>
      <c r="AB31" s="1359">
        <f t="shared" si="4"/>
        <v>1.0638297872340425</v>
      </c>
      <c r="AC31" s="1359">
        <f t="shared" si="5"/>
        <v>1</v>
      </c>
    </row>
    <row r="32" spans="1:29" ht="15">
      <c r="A32" s="161"/>
      <c r="B32" s="12" t="s">
        <v>1271</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8"/>
      <c r="M32" s="2323"/>
      <c r="N32" s="2323"/>
      <c r="O32" s="2367"/>
      <c r="P32" s="3704"/>
      <c r="Q32" s="1355" t="str">
        <f t="shared" si="11"/>
        <v>公共部分装修</v>
      </c>
      <c r="R32" s="1356" t="s">
        <v>70</v>
      </c>
      <c r="S32" s="1357">
        <f t="shared" si="12"/>
        <v>94</v>
      </c>
      <c r="T32" s="1356" t="s">
        <v>70</v>
      </c>
      <c r="U32" s="1357">
        <f t="shared" si="13"/>
        <v>97</v>
      </c>
      <c r="V32" s="1356" t="s">
        <v>70</v>
      </c>
      <c r="W32" s="1357">
        <f t="shared" si="14"/>
        <v>103</v>
      </c>
      <c r="X32" s="1344"/>
      <c r="Y32" s="3704"/>
      <c r="Z32" s="1358" t="str">
        <f t="shared" si="15"/>
        <v>公共部分装修</v>
      </c>
      <c r="AA32" s="1359">
        <f t="shared" si="3"/>
        <v>1.0638297872340425</v>
      </c>
      <c r="AB32" s="1359">
        <f t="shared" si="4"/>
        <v>1.0309278350515463</v>
      </c>
      <c r="AC32" s="1359">
        <f t="shared" si="5"/>
        <v>0.970873786407767</v>
      </c>
    </row>
    <row r="33" spans="1:29" ht="15">
      <c r="A33" s="161"/>
      <c r="B33" s="12" t="s">
        <v>1272</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8"/>
      <c r="M33" s="2323"/>
      <c r="N33" s="2323"/>
      <c r="O33" s="2367"/>
      <c r="P33" s="3704"/>
      <c r="Q33" s="1355" t="str">
        <f t="shared" si="11"/>
        <v>成新度</v>
      </c>
      <c r="R33" s="1356" t="s">
        <v>70</v>
      </c>
      <c r="S33" s="1357">
        <f t="shared" si="12"/>
        <v>98</v>
      </c>
      <c r="T33" s="1356" t="s">
        <v>70</v>
      </c>
      <c r="U33" s="1357">
        <f t="shared" si="13"/>
        <v>100</v>
      </c>
      <c r="V33" s="1356" t="s">
        <v>70</v>
      </c>
      <c r="W33" s="1357">
        <f t="shared" si="14"/>
        <v>96</v>
      </c>
      <c r="X33" s="1344"/>
      <c r="Y33" s="3704"/>
      <c r="Z33" s="1358" t="str">
        <f t="shared" si="15"/>
        <v>成新度</v>
      </c>
      <c r="AA33" s="1359">
        <f t="shared" si="3"/>
        <v>1.0204081632653061</v>
      </c>
      <c r="AB33" s="1359">
        <f t="shared" si="4"/>
        <v>1</v>
      </c>
      <c r="AC33" s="1359">
        <f t="shared" si="5"/>
        <v>1.0416666666666667</v>
      </c>
    </row>
    <row r="34" spans="1:29" s="40" customFormat="1" ht="15">
      <c r="A34" s="1046"/>
      <c r="B34" s="12" t="s">
        <v>1442</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4"/>
      <c r="M34" s="2286"/>
      <c r="N34" s="2286"/>
      <c r="O34" s="2365"/>
      <c r="P34" s="3704"/>
      <c r="Q34" s="7" t="str">
        <f t="shared" si="11"/>
        <v>物业管理</v>
      </c>
      <c r="R34" s="1346" t="s">
        <v>70</v>
      </c>
      <c r="S34" s="1347">
        <f t="shared" si="12"/>
        <v>97</v>
      </c>
      <c r="T34" s="1346" t="s">
        <v>70</v>
      </c>
      <c r="U34" s="1347">
        <f t="shared" si="13"/>
        <v>100</v>
      </c>
      <c r="V34" s="1346" t="s">
        <v>70</v>
      </c>
      <c r="W34" s="1347">
        <f t="shared" si="14"/>
        <v>97</v>
      </c>
      <c r="X34" s="293"/>
      <c r="Y34" s="3704"/>
      <c r="Z34" s="294" t="str">
        <f t="shared" si="15"/>
        <v>物业管理</v>
      </c>
      <c r="AA34" s="1348">
        <f t="shared" si="3"/>
        <v>1.0309278350515463</v>
      </c>
      <c r="AB34" s="1348">
        <f t="shared" si="4"/>
        <v>1</v>
      </c>
      <c r="AC34" s="1348">
        <f t="shared" si="5"/>
        <v>1.0309278350515463</v>
      </c>
    </row>
    <row r="35" spans="1:29" ht="15">
      <c r="A35" s="161"/>
      <c r="B35" s="12" t="s">
        <v>3055</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8"/>
      <c r="M35" s="2323"/>
      <c r="N35" s="2323"/>
      <c r="O35" s="2367"/>
      <c r="P35" s="3704" t="s">
        <v>75</v>
      </c>
      <c r="Q35" s="1355" t="str">
        <f t="shared" si="11"/>
        <v>市政基础设施</v>
      </c>
      <c r="R35" s="1356" t="s">
        <v>70</v>
      </c>
      <c r="S35" s="1357">
        <f t="shared" si="12"/>
        <v>98</v>
      </c>
      <c r="T35" s="1356" t="s">
        <v>70</v>
      </c>
      <c r="U35" s="1357">
        <f t="shared" si="13"/>
        <v>96</v>
      </c>
      <c r="V35" s="1356" t="s">
        <v>70</v>
      </c>
      <c r="W35" s="1357">
        <f t="shared" si="14"/>
        <v>102</v>
      </c>
      <c r="X35" s="1344"/>
      <c r="Y35" s="3704"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306</v>
      </c>
      <c r="H36" s="783">
        <f>SUMIF(104:104,G36,105:105)-SUMIF(104:104,C36,105:105)+100</f>
        <v>99</v>
      </c>
      <c r="I36" s="107" t="s">
        <v>136</v>
      </c>
      <c r="J36" s="783">
        <f>SUMIF(104:104,I36,105:105)-SUMIF(104:104,C36,105:105)+100</f>
        <v>98</v>
      </c>
      <c r="K36" s="959">
        <v>1</v>
      </c>
      <c r="L36" s="2328"/>
      <c r="M36" s="2323"/>
      <c r="N36" s="2323"/>
      <c r="O36" s="2367"/>
      <c r="P36" s="3704"/>
      <c r="Q36" s="1355" t="str">
        <f t="shared" si="11"/>
        <v>内部装修</v>
      </c>
      <c r="R36" s="1356" t="s">
        <v>70</v>
      </c>
      <c r="S36" s="1357">
        <f t="shared" si="12"/>
        <v>101</v>
      </c>
      <c r="T36" s="1356" t="s">
        <v>70</v>
      </c>
      <c r="U36" s="1357">
        <f t="shared" si="13"/>
        <v>99</v>
      </c>
      <c r="V36" s="1356" t="s">
        <v>70</v>
      </c>
      <c r="W36" s="1357">
        <f t="shared" si="14"/>
        <v>98</v>
      </c>
      <c r="X36" s="1344"/>
      <c r="Y36" s="3704"/>
      <c r="Z36" s="1358" t="str">
        <f t="shared" si="15"/>
        <v>内部装修</v>
      </c>
      <c r="AA36" s="1359">
        <f t="shared" si="3"/>
        <v>0.99009900990099009</v>
      </c>
      <c r="AB36" s="1359">
        <f t="shared" si="4"/>
        <v>1.0101010101010102</v>
      </c>
      <c r="AC36" s="1359">
        <f t="shared" si="5"/>
        <v>1.0204081632653061</v>
      </c>
    </row>
    <row r="37" spans="1:29" ht="15">
      <c r="A37" s="161"/>
      <c r="B37" s="12" t="s">
        <v>1443</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8"/>
      <c r="M37" s="2323"/>
      <c r="N37" s="2323"/>
      <c r="O37" s="2367"/>
      <c r="P37" s="3704"/>
      <c r="Q37" s="1355" t="str">
        <f t="shared" si="11"/>
        <v>内部装修状况</v>
      </c>
      <c r="R37" s="1356" t="s">
        <v>70</v>
      </c>
      <c r="S37" s="1357">
        <f t="shared" si="12"/>
        <v>98.5</v>
      </c>
      <c r="T37" s="1356" t="s">
        <v>70</v>
      </c>
      <c r="U37" s="1357">
        <f t="shared" si="13"/>
        <v>97</v>
      </c>
      <c r="V37" s="1356" t="s">
        <v>70</v>
      </c>
      <c r="W37" s="1357">
        <f t="shared" si="14"/>
        <v>95.5</v>
      </c>
      <c r="X37" s="1344"/>
      <c r="Y37" s="3704"/>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7"/>
      <c r="M38" s="2329"/>
      <c r="N38" s="2329"/>
      <c r="O38" s="2368"/>
      <c r="P38" s="3704"/>
      <c r="Q38" s="1363">
        <f t="shared" si="11"/>
        <v>111</v>
      </c>
      <c r="R38" s="1364" t="s">
        <v>70</v>
      </c>
      <c r="S38" s="1365">
        <f t="shared" si="12"/>
        <v>95</v>
      </c>
      <c r="T38" s="1364" t="s">
        <v>70</v>
      </c>
      <c r="U38" s="1365">
        <f t="shared" si="13"/>
        <v>90</v>
      </c>
      <c r="V38" s="1364" t="s">
        <v>70</v>
      </c>
      <c r="W38" s="1365">
        <f t="shared" si="14"/>
        <v>100</v>
      </c>
      <c r="X38" s="1366"/>
      <c r="Y38" s="3704"/>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8"/>
      <c r="M39" s="2323"/>
      <c r="N39" s="2323"/>
      <c r="O39" s="2367"/>
      <c r="P39" s="3704"/>
      <c r="Q39" s="1355">
        <f t="shared" si="11"/>
        <v>111</v>
      </c>
      <c r="R39" s="1356" t="s">
        <v>70</v>
      </c>
      <c r="S39" s="1357">
        <f t="shared" si="12"/>
        <v>95</v>
      </c>
      <c r="T39" s="1356" t="s">
        <v>70</v>
      </c>
      <c r="U39" s="1357">
        <f t="shared" si="13"/>
        <v>90</v>
      </c>
      <c r="V39" s="1356" t="s">
        <v>70</v>
      </c>
      <c r="W39" s="1357">
        <f t="shared" si="14"/>
        <v>100</v>
      </c>
      <c r="X39" s="1344"/>
      <c r="Y39" s="3704"/>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8"/>
      <c r="M40" s="2323"/>
      <c r="N40" s="2323"/>
      <c r="O40" s="2367"/>
      <c r="P40" s="3705"/>
      <c r="Q40" s="1355">
        <f t="shared" si="11"/>
        <v>111</v>
      </c>
      <c r="R40" s="1356" t="s">
        <v>70</v>
      </c>
      <c r="S40" s="1357">
        <f t="shared" si="12"/>
        <v>98</v>
      </c>
      <c r="T40" s="1356" t="s">
        <v>70</v>
      </c>
      <c r="U40" s="1357">
        <f t="shared" si="13"/>
        <v>96</v>
      </c>
      <c r="V40" s="1356" t="s">
        <v>70</v>
      </c>
      <c r="W40" s="1357">
        <f t="shared" si="14"/>
        <v>100</v>
      </c>
      <c r="X40" s="1344"/>
      <c r="Y40" s="3705"/>
      <c r="Z40" s="1358">
        <f t="shared" si="15"/>
        <v>111</v>
      </c>
      <c r="AA40" s="1359">
        <f t="shared" si="3"/>
        <v>1.0204081632653061</v>
      </c>
      <c r="AB40" s="1359">
        <f t="shared" si="4"/>
        <v>1.0416666666666667</v>
      </c>
      <c r="AC40" s="1359">
        <f t="shared" si="5"/>
        <v>1</v>
      </c>
    </row>
    <row r="41" spans="1:29" ht="15">
      <c r="A41" s="163" t="s">
        <v>118</v>
      </c>
      <c r="B41" s="164"/>
      <c r="C41" s="2872" t="s">
        <v>23</v>
      </c>
      <c r="D41" s="2873"/>
      <c r="E41" s="2874">
        <v>30000</v>
      </c>
      <c r="F41" s="2875"/>
      <c r="G41" s="2876">
        <v>35000</v>
      </c>
      <c r="H41" s="2877"/>
      <c r="I41" s="2874">
        <v>32000</v>
      </c>
      <c r="J41" s="2877"/>
      <c r="K41" s="1397"/>
      <c r="L41" s="2330"/>
      <c r="M41" s="2331"/>
      <c r="N41" s="2323"/>
      <c r="O41" s="2331"/>
      <c r="P41" s="3697" t="str">
        <f>A41</f>
        <v>成交单价（元/平方米）</v>
      </c>
      <c r="Q41" s="3697"/>
      <c r="R41" s="3698">
        <f>E41</f>
        <v>30000</v>
      </c>
      <c r="S41" s="3698"/>
      <c r="T41" s="3698">
        <f>G41</f>
        <v>35000</v>
      </c>
      <c r="U41" s="3698"/>
      <c r="V41" s="3698">
        <f>I41</f>
        <v>32000</v>
      </c>
      <c r="W41" s="3698"/>
      <c r="X41" s="1369"/>
      <c r="Y41" s="1370"/>
      <c r="Z41" s="1369"/>
      <c r="AA41" s="1369"/>
      <c r="AB41" s="1369"/>
      <c r="AC41" s="1369"/>
    </row>
    <row r="42" spans="1:29" ht="15.75" thickBot="1">
      <c r="A42" s="165" t="s">
        <v>116</v>
      </c>
      <c r="B42" s="166"/>
      <c r="C42" s="2878" t="e">
        <f>R43</f>
        <v>#DIV/0!</v>
      </c>
      <c r="D42" s="2879"/>
      <c r="E42" s="2880" t="e">
        <f>R42</f>
        <v>#DIV/0!</v>
      </c>
      <c r="F42" s="2880"/>
      <c r="G42" s="2878" t="e">
        <f>T42</f>
        <v>#DIV/0!</v>
      </c>
      <c r="H42" s="2879"/>
      <c r="I42" s="2880" t="e">
        <f>V42</f>
        <v>#DIV/0!</v>
      </c>
      <c r="J42" s="2879"/>
      <c r="K42" s="1398"/>
      <c r="L42" s="2330"/>
      <c r="M42" s="2331"/>
      <c r="N42" s="2323"/>
      <c r="O42" s="2331"/>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369"/>
      <c r="Y42" s="1369"/>
      <c r="Z42" s="1369"/>
      <c r="AA42" s="1369"/>
      <c r="AB42" s="1369"/>
      <c r="AC42" s="1369"/>
    </row>
    <row r="43" spans="1:29" ht="15.75" thickBot="1">
      <c r="A43" s="115" t="s">
        <v>115</v>
      </c>
      <c r="B43" s="116"/>
      <c r="C43" s="2882" t="e">
        <f>R43</f>
        <v>#DIV/0!</v>
      </c>
      <c r="D43" s="2882"/>
      <c r="E43" s="2882"/>
      <c r="F43" s="2882"/>
      <c r="G43" s="2882"/>
      <c r="H43" s="2882"/>
      <c r="I43" s="2882"/>
      <c r="J43" s="2882"/>
      <c r="K43" s="1399"/>
      <c r="L43" s="2330"/>
      <c r="M43" s="2331"/>
      <c r="N43" s="2331"/>
      <c r="O43" s="2331"/>
      <c r="P43" s="3694" t="str">
        <f>A43</f>
        <v>估价对象XX用房的比较价值（楼面单价，元/平方米）</v>
      </c>
      <c r="Q43" s="3695"/>
      <c r="R43" s="3696" t="e">
        <f>IF(F1="售价",ROUND(AVERAGE(R42:V42),0),ROUND(AVERAGE(R42:V42),1))</f>
        <v>#DIV/0!</v>
      </c>
      <c r="S43" s="3696"/>
      <c r="T43" s="3696"/>
      <c r="U43" s="3696"/>
      <c r="V43" s="3696"/>
      <c r="W43" s="3696"/>
      <c r="X43" s="1369"/>
      <c r="Y43" s="1369"/>
      <c r="Z43" s="1369"/>
      <c r="AA43" s="1369"/>
      <c r="AB43" s="1369"/>
      <c r="AC43" s="1369"/>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6" t="s">
        <v>188</v>
      </c>
      <c r="B51" s="1369"/>
      <c r="C51" s="1377"/>
      <c r="D51" s="1377"/>
      <c r="E51" s="1377"/>
      <c r="F51" s="1378"/>
      <c r="G51" s="1378"/>
      <c r="H51" s="1377"/>
      <c r="I51" s="1377"/>
      <c r="J51" s="1377"/>
      <c r="K51" s="2337"/>
      <c r="L51" s="2338"/>
      <c r="M51" s="2339"/>
      <c r="N51" s="2339"/>
      <c r="O51" s="2339"/>
      <c r="P51" s="120"/>
      <c r="Q51" s="121"/>
    </row>
    <row r="52" spans="1:17" s="855" customFormat="1" ht="15">
      <c r="A52" s="852" t="s">
        <v>3198</v>
      </c>
      <c r="B52" s="853"/>
      <c r="C52" s="3082" t="str">
        <f>YEAR(C7)&amp;"-"&amp;MONTH(C7)</f>
        <v>2017-8</v>
      </c>
      <c r="D52" s="3083">
        <f>EDATE(C52,-1)</f>
        <v>42917</v>
      </c>
      <c r="E52" s="3083">
        <f t="shared" ref="E52:O52" si="16">EDATE(D52,-1)</f>
        <v>42887</v>
      </c>
      <c r="F52" s="3083">
        <f t="shared" si="16"/>
        <v>42856</v>
      </c>
      <c r="G52" s="3083">
        <f t="shared" si="16"/>
        <v>42826</v>
      </c>
      <c r="H52" s="3083">
        <f t="shared" si="16"/>
        <v>42795</v>
      </c>
      <c r="I52" s="3083">
        <f t="shared" si="16"/>
        <v>42767</v>
      </c>
      <c r="J52" s="3083">
        <f t="shared" si="16"/>
        <v>42736</v>
      </c>
      <c r="K52" s="3083">
        <f t="shared" si="16"/>
        <v>42705</v>
      </c>
      <c r="L52" s="3083">
        <f t="shared" si="16"/>
        <v>42675</v>
      </c>
      <c r="M52" s="3083">
        <f t="shared" si="16"/>
        <v>42644</v>
      </c>
      <c r="N52" s="3083">
        <f t="shared" si="16"/>
        <v>42614</v>
      </c>
      <c r="O52" s="3083">
        <f t="shared" si="16"/>
        <v>42583</v>
      </c>
      <c r="P52" s="854"/>
    </row>
    <row r="53" spans="1:17" s="40" customFormat="1" ht="14.25">
      <c r="A53" s="1050"/>
      <c r="B53" s="1051"/>
      <c r="C53" s="3080">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304</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1245</v>
      </c>
      <c r="D59" s="886" t="s">
        <v>1246</v>
      </c>
      <c r="E59" s="886" t="s">
        <v>1247</v>
      </c>
      <c r="F59" s="886" t="s">
        <v>1248</v>
      </c>
      <c r="G59" s="886" t="s">
        <v>1249</v>
      </c>
      <c r="H59" s="886" t="s">
        <v>1250</v>
      </c>
      <c r="I59" s="886" t="s">
        <v>1251</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1252</v>
      </c>
      <c r="D70" s="920" t="s">
        <v>1253</v>
      </c>
      <c r="E70" s="920" t="s">
        <v>1254</v>
      </c>
      <c r="F70" s="920" t="s">
        <v>1255</v>
      </c>
      <c r="G70" s="920" t="s">
        <v>1256</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1252</v>
      </c>
      <c r="D72" s="925" t="s">
        <v>1253</v>
      </c>
      <c r="E72" s="925" t="s">
        <v>1254</v>
      </c>
      <c r="F72" s="925" t="s">
        <v>1255</v>
      </c>
      <c r="G72" s="925" t="s">
        <v>1256</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3037</v>
      </c>
      <c r="C74" s="925" t="s">
        <v>1252</v>
      </c>
      <c r="D74" s="925" t="s">
        <v>1253</v>
      </c>
      <c r="E74" s="925" t="s">
        <v>1254</v>
      </c>
      <c r="F74" s="925" t="s">
        <v>1255</v>
      </c>
      <c r="G74" s="925" t="s">
        <v>1256</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3065</v>
      </c>
      <c r="C76" s="213" t="s">
        <v>3057</v>
      </c>
      <c r="D76" s="213" t="s">
        <v>3058</v>
      </c>
      <c r="E76" s="213" t="s">
        <v>3059</v>
      </c>
      <c r="F76" s="213" t="s">
        <v>3060</v>
      </c>
      <c r="G76" s="213" t="s">
        <v>3061</v>
      </c>
      <c r="H76" s="886"/>
      <c r="I76" s="886"/>
      <c r="J76" s="886"/>
      <c r="K76" s="886"/>
      <c r="L76" s="886"/>
      <c r="M76" s="2801"/>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1252</v>
      </c>
      <c r="D78" s="925" t="s">
        <v>1253</v>
      </c>
      <c r="E78" s="925" t="s">
        <v>1254</v>
      </c>
      <c r="F78" s="925" t="s">
        <v>1255</v>
      </c>
      <c r="G78" s="925" t="s">
        <v>1256</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3039</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1252</v>
      </c>
      <c r="D106" s="925" t="s">
        <v>1253</v>
      </c>
      <c r="E106" s="925" t="s">
        <v>1254</v>
      </c>
      <c r="F106" s="925" t="s">
        <v>1255</v>
      </c>
      <c r="G106" s="925" t="s">
        <v>1256</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63" t="s">
        <v>631</v>
      </c>
      <c r="C1" s="3164" t="s">
        <v>632</v>
      </c>
      <c r="D1" s="3165" t="s">
        <v>633</v>
      </c>
      <c r="E1" s="3166"/>
      <c r="F1" s="3147" t="s">
        <v>3098</v>
      </c>
      <c r="G1" s="3167" t="s">
        <v>634</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5" customFormat="1" ht="28.5" customHeight="1" thickTop="1">
      <c r="A2" s="3161" t="s">
        <v>635</v>
      </c>
      <c r="B2" s="2883" t="e">
        <f ca="1">IF(C2="——",IF(B37="元/平方米",ROUND(B3*D3/10000,0),ROUND(F3*C39/10000,0)),IF(B37="元/平方米",ROUND(B3*D3/10000,0),ROUND(F3*C39/10000,0))-D2)</f>
        <v>#DIV/0!</v>
      </c>
      <c r="C2" s="3139" t="s">
        <v>3100</v>
      </c>
      <c r="D2" s="2369" t="e">
        <f ca="1">SUMIF(INDIRECT("'"&amp;F2&amp;"'"&amp;"!A:A"),"承租人权益价值",INDIRECT("'"&amp;F2&amp;"'"&amp;"!c:c"))</f>
        <v>#N/A</v>
      </c>
      <c r="E2" s="3140" t="s">
        <v>1105</v>
      </c>
      <c r="F2" s="3141" t="s">
        <v>3072</v>
      </c>
      <c r="G2" s="2370"/>
      <c r="H2" s="2370"/>
      <c r="I2" s="2370"/>
      <c r="J2" s="2370"/>
      <c r="K2" s="2372"/>
      <c r="L2" s="2373"/>
      <c r="M2" s="2374"/>
      <c r="N2" s="2374"/>
      <c r="O2" s="2374"/>
      <c r="P2" s="2884"/>
      <c r="Q2" s="1320"/>
      <c r="R2" s="1320"/>
      <c r="S2" s="1320"/>
      <c r="T2" s="1320"/>
      <c r="U2" s="1320"/>
      <c r="V2" s="1320"/>
      <c r="W2" s="1320"/>
      <c r="X2" s="1320"/>
      <c r="Y2" s="1320"/>
      <c r="Z2" s="1320"/>
      <c r="AA2" s="1320"/>
      <c r="AB2" s="1320"/>
      <c r="AC2" s="1321"/>
    </row>
    <row r="3" spans="1:29" s="745" customFormat="1" ht="28.5" customHeight="1" thickBot="1">
      <c r="A3" s="583" t="s">
        <v>636</v>
      </c>
      <c r="B3" s="956" t="e">
        <f ca="1">IF(B37="元/平方米",C39,ROUND(B2*10000/D3,0))</f>
        <v>#DIV/0!</v>
      </c>
      <c r="C3" s="747" t="s">
        <v>637</v>
      </c>
      <c r="D3" s="746">
        <f>SUMIF('数据-汇总表'!$C19:$C33,D1,'数据-汇总表'!$E19:$E33)</f>
        <v>0</v>
      </c>
      <c r="E3" s="747" t="s">
        <v>2500</v>
      </c>
      <c r="F3" s="746">
        <f>SUMIF('数据-取费表'!A5:A15,D1,'数据-取费表'!AH5:AH15)</f>
        <v>0</v>
      </c>
      <c r="G3" s="2370"/>
      <c r="H3" s="2370"/>
      <c r="I3" s="2370"/>
      <c r="J3" s="2370"/>
      <c r="K3" s="2372"/>
      <c r="L3" s="2373"/>
      <c r="M3" s="2374"/>
      <c r="N3" s="2374"/>
      <c r="O3" s="2374"/>
      <c r="P3" s="2884"/>
      <c r="Q3" s="1320"/>
      <c r="R3" s="1320"/>
      <c r="S3" s="1320"/>
      <c r="T3" s="1320"/>
      <c r="U3" s="1320"/>
      <c r="V3" s="1320"/>
      <c r="W3" s="1320"/>
      <c r="X3" s="1320"/>
      <c r="Y3" s="1320"/>
      <c r="Z3" s="1320"/>
      <c r="AA3" s="1320"/>
      <c r="AB3" s="1413"/>
      <c r="AC3" s="1403"/>
    </row>
    <row r="4" spans="1:29" ht="15">
      <c r="A4" s="748" t="s">
        <v>638</v>
      </c>
      <c r="B4" s="749"/>
      <c r="C4" s="3636" t="s">
        <v>639</v>
      </c>
      <c r="D4" s="3637"/>
      <c r="E4" s="3638" t="s">
        <v>640</v>
      </c>
      <c r="F4" s="3639"/>
      <c r="G4" s="3636" t="s">
        <v>641</v>
      </c>
      <c r="H4" s="3637"/>
      <c r="I4" s="3636" t="s">
        <v>642</v>
      </c>
      <c r="J4" s="3637"/>
      <c r="K4" s="957" t="s">
        <v>643</v>
      </c>
      <c r="L4" s="2375"/>
      <c r="M4" s="2376"/>
      <c r="N4" s="2376"/>
      <c r="O4" s="2376"/>
      <c r="P4" s="3640" t="s">
        <v>644</v>
      </c>
      <c r="Q4" s="3641"/>
      <c r="R4" s="3625" t="s">
        <v>640</v>
      </c>
      <c r="S4" s="3626"/>
      <c r="T4" s="3625" t="s">
        <v>641</v>
      </c>
      <c r="U4" s="3626"/>
      <c r="V4" s="3648" t="s">
        <v>642</v>
      </c>
      <c r="W4" s="3648"/>
      <c r="X4" s="2869"/>
      <c r="Y4" s="3625" t="s">
        <v>644</v>
      </c>
      <c r="Z4" s="3626"/>
      <c r="AA4" s="3620" t="s">
        <v>640</v>
      </c>
      <c r="AB4" s="3621" t="s">
        <v>641</v>
      </c>
      <c r="AC4" s="3620" t="s">
        <v>642</v>
      </c>
    </row>
    <row r="5" spans="1:29" ht="15">
      <c r="A5" s="751"/>
      <c r="B5" s="752"/>
      <c r="C5" s="3749" t="s">
        <v>562</v>
      </c>
      <c r="D5" s="3750"/>
      <c r="E5" s="3747" t="s">
        <v>563</v>
      </c>
      <c r="F5" s="3748"/>
      <c r="G5" s="3749" t="s">
        <v>564</v>
      </c>
      <c r="H5" s="3750"/>
      <c r="I5" s="3749" t="s">
        <v>565</v>
      </c>
      <c r="J5" s="3750"/>
      <c r="K5" s="957"/>
      <c r="L5" s="2375"/>
      <c r="M5" s="2376"/>
      <c r="N5" s="2376"/>
      <c r="O5" s="2376"/>
      <c r="P5" s="3642"/>
      <c r="Q5" s="3643"/>
      <c r="R5" s="3627"/>
      <c r="S5" s="3628"/>
      <c r="T5" s="3627"/>
      <c r="U5" s="3628"/>
      <c r="V5" s="3648"/>
      <c r="W5" s="3648"/>
      <c r="X5" s="2869"/>
      <c r="Y5" s="3627"/>
      <c r="Z5" s="3628"/>
      <c r="AA5" s="3621"/>
      <c r="AB5" s="3621"/>
      <c r="AC5" s="3621"/>
    </row>
    <row r="6" spans="1:29" ht="15.75" thickBot="1">
      <c r="A6" s="753"/>
      <c r="B6" s="754"/>
      <c r="C6" s="3751" t="s">
        <v>566</v>
      </c>
      <c r="D6" s="3752"/>
      <c r="E6" s="3753" t="s">
        <v>566</v>
      </c>
      <c r="F6" s="3754"/>
      <c r="G6" s="3751" t="s">
        <v>566</v>
      </c>
      <c r="H6" s="3752"/>
      <c r="I6" s="3751" t="s">
        <v>566</v>
      </c>
      <c r="J6" s="3752"/>
      <c r="K6" s="957" t="s">
        <v>567</v>
      </c>
      <c r="L6" s="2375"/>
      <c r="M6" s="2376"/>
      <c r="N6" s="2376"/>
      <c r="O6" s="2376"/>
      <c r="P6" s="3644"/>
      <c r="Q6" s="3645"/>
      <c r="R6" s="3627"/>
      <c r="S6" s="3628"/>
      <c r="T6" s="3646"/>
      <c r="U6" s="3647"/>
      <c r="V6" s="3648"/>
      <c r="W6" s="3648"/>
      <c r="X6" s="2869"/>
      <c r="Y6" s="3646"/>
      <c r="Z6" s="3647"/>
      <c r="AA6" s="3622"/>
      <c r="AB6" s="3622"/>
      <c r="AC6" s="3622"/>
    </row>
    <row r="7" spans="1:29" s="412" customFormat="1" ht="15.75" thickBot="1">
      <c r="A7" s="755" t="s">
        <v>568</v>
      </c>
      <c r="B7" s="756"/>
      <c r="C7" s="757">
        <f>'数据-取费表'!B2</f>
        <v>42959</v>
      </c>
      <c r="D7" s="758">
        <v>100</v>
      </c>
      <c r="E7" s="759">
        <v>42007</v>
      </c>
      <c r="F7" s="760">
        <f>SUMIF(48:48,YEAR(E7)&amp;"-"&amp;MONTH(E7),49:49)</f>
        <v>0</v>
      </c>
      <c r="G7" s="761">
        <v>41918</v>
      </c>
      <c r="H7" s="758">
        <f>SUMIF(48:48,YEAR(G7)&amp;"-"&amp;MONTH(G7),49:49)</f>
        <v>0</v>
      </c>
      <c r="I7" s="761">
        <v>42003</v>
      </c>
      <c r="J7" s="758">
        <f>SUMIF(48:48,YEAR(I7)&amp;"-"&amp;MONTH(I7),49:49)</f>
        <v>0</v>
      </c>
      <c r="K7" s="958"/>
      <c r="L7" s="2377"/>
      <c r="M7" s="2378"/>
      <c r="N7" s="2378"/>
      <c r="O7" s="2378"/>
      <c r="P7" s="3623" t="s">
        <v>569</v>
      </c>
      <c r="Q7" s="3649"/>
      <c r="R7" s="1323" t="s">
        <v>70</v>
      </c>
      <c r="S7" s="1324">
        <f t="shared" ref="S7:S14" si="0">F7</f>
        <v>0</v>
      </c>
      <c r="T7" s="1323" t="s">
        <v>70</v>
      </c>
      <c r="U7" s="1324">
        <f t="shared" ref="U7:U14" si="1">H7</f>
        <v>0</v>
      </c>
      <c r="V7" s="1323" t="s">
        <v>70</v>
      </c>
      <c r="W7" s="1324">
        <f t="shared" ref="W7:W14" si="2">J7</f>
        <v>0</v>
      </c>
      <c r="X7" s="1325"/>
      <c r="Y7" s="3623" t="s">
        <v>569</v>
      </c>
      <c r="Z7" s="3624"/>
      <c r="AA7" s="1326" t="e">
        <f>D7/F7</f>
        <v>#DIV/0!</v>
      </c>
      <c r="AB7" s="1326" t="e">
        <f>D7/H7</f>
        <v>#DIV/0!</v>
      </c>
      <c r="AC7" s="1326" t="e">
        <f>D7/J7</f>
        <v>#DIV/0!</v>
      </c>
    </row>
    <row r="8" spans="1:29" s="412" customFormat="1" ht="15.75" thickBot="1">
      <c r="A8" s="755" t="s">
        <v>570</v>
      </c>
      <c r="B8" s="756"/>
      <c r="C8" s="762" t="s">
        <v>591</v>
      </c>
      <c r="D8" s="758">
        <v>100</v>
      </c>
      <c r="E8" s="762" t="s">
        <v>591</v>
      </c>
      <c r="F8" s="760">
        <f>SUMIF(51:51,E8,52:52)-SUMIF(51:51,C8,52:52)+100</f>
        <v>100</v>
      </c>
      <c r="G8" s="762" t="s">
        <v>591</v>
      </c>
      <c r="H8" s="758">
        <f>SUMIF(51:51,G8,52:52)-SUMIF(51:51,C8,52:52)+100</f>
        <v>100</v>
      </c>
      <c r="I8" s="762" t="s">
        <v>591</v>
      </c>
      <c r="J8" s="758">
        <f>SUMIF(51:51,I8,52:52)-SUMIF(51:51,C8,52:52)+100</f>
        <v>100</v>
      </c>
      <c r="K8" s="958"/>
      <c r="L8" s="2377"/>
      <c r="M8" s="2378"/>
      <c r="N8" s="2378"/>
      <c r="O8" s="2378"/>
      <c r="P8" s="3623" t="s">
        <v>612</v>
      </c>
      <c r="Q8" s="3624"/>
      <c r="R8" s="1323" t="s">
        <v>70</v>
      </c>
      <c r="S8" s="1324">
        <f t="shared" si="0"/>
        <v>100</v>
      </c>
      <c r="T8" s="1323" t="s">
        <v>70</v>
      </c>
      <c r="U8" s="1324">
        <f t="shared" si="1"/>
        <v>100</v>
      </c>
      <c r="V8" s="1323" t="s">
        <v>70</v>
      </c>
      <c r="W8" s="1324">
        <f t="shared" si="2"/>
        <v>100</v>
      </c>
      <c r="X8" s="1325"/>
      <c r="Y8" s="3623" t="s">
        <v>612</v>
      </c>
      <c r="Z8" s="3624"/>
      <c r="AA8" s="1326">
        <f t="shared" ref="AA8:AA36" si="3">D8/F8</f>
        <v>1</v>
      </c>
      <c r="AB8" s="1326">
        <f t="shared" ref="AB8:AB36" si="4">D8/H8</f>
        <v>1</v>
      </c>
      <c r="AC8" s="1326">
        <f t="shared" ref="AC8:AC36" si="5">D8/J8</f>
        <v>1</v>
      </c>
    </row>
    <row r="9" spans="1:29" s="412" customFormat="1">
      <c r="A9" s="364" t="s">
        <v>571</v>
      </c>
      <c r="B9" s="987" t="s">
        <v>594</v>
      </c>
      <c r="C9" s="764" t="s">
        <v>645</v>
      </c>
      <c r="D9" s="429">
        <v>100</v>
      </c>
      <c r="E9" s="767" t="s">
        <v>646</v>
      </c>
      <c r="F9" s="429">
        <f>SUMIF(53:53,E9,54:54)-SUMIF(53:53,C9,54:54)+100</f>
        <v>100</v>
      </c>
      <c r="G9" s="765" t="s">
        <v>646</v>
      </c>
      <c r="H9" s="429">
        <f>SUMIF(53:53,G9,54:54)-SUMIF(53:53,C9,54:54)+100</f>
        <v>100</v>
      </c>
      <c r="I9" s="765" t="s">
        <v>646</v>
      </c>
      <c r="J9" s="429">
        <f>SUMIF(53:53,I9,54:54)-SUMIF(53:53,C9,54:54)+100</f>
        <v>100</v>
      </c>
      <c r="K9" s="958"/>
      <c r="L9" s="2377"/>
      <c r="M9" s="2378"/>
      <c r="N9" s="2378"/>
      <c r="O9" s="2378"/>
      <c r="P9" s="3635" t="s">
        <v>572</v>
      </c>
      <c r="Q9" s="2868" t="str">
        <f t="shared" ref="Q9:Q14" si="6">B9</f>
        <v>用途</v>
      </c>
      <c r="R9" s="1323" t="s">
        <v>70</v>
      </c>
      <c r="S9" s="1324">
        <f t="shared" si="0"/>
        <v>100</v>
      </c>
      <c r="T9" s="1323" t="s">
        <v>70</v>
      </c>
      <c r="U9" s="1324">
        <f t="shared" si="1"/>
        <v>100</v>
      </c>
      <c r="V9" s="1323" t="s">
        <v>70</v>
      </c>
      <c r="W9" s="1324">
        <f t="shared" si="2"/>
        <v>100</v>
      </c>
      <c r="X9" s="1325"/>
      <c r="Y9" s="3590" t="s">
        <v>573</v>
      </c>
      <c r="Z9" s="350" t="str">
        <f t="shared" ref="Z9:Z14" si="7">Q9</f>
        <v>用途</v>
      </c>
      <c r="AA9" s="1326">
        <f t="shared" si="3"/>
        <v>1</v>
      </c>
      <c r="AB9" s="1326">
        <f t="shared" si="4"/>
        <v>1</v>
      </c>
      <c r="AC9" s="1326">
        <f t="shared" si="5"/>
        <v>1</v>
      </c>
    </row>
    <row r="10" spans="1:29" s="775" customFormat="1" ht="27">
      <c r="A10" s="988"/>
      <c r="B10" s="989" t="s">
        <v>574</v>
      </c>
      <c r="C10" s="771" t="s">
        <v>625</v>
      </c>
      <c r="D10" s="430">
        <v>100</v>
      </c>
      <c r="E10" s="771" t="s">
        <v>613</v>
      </c>
      <c r="F10" s="430">
        <f>SUMIF(55:55,E10,56:56)-SUMIF(55:55,C10,56:56)+100</f>
        <v>97</v>
      </c>
      <c r="G10" s="772" t="s">
        <v>614</v>
      </c>
      <c r="H10" s="430">
        <f>SUMIF(55:55,G10,56:56)-SUMIF(55:55,C10,56:56)+100</f>
        <v>94</v>
      </c>
      <c r="I10" s="771" t="s">
        <v>615</v>
      </c>
      <c r="J10" s="430">
        <f>SUMIF(55:55,I10,56:56)-SUMIF(55:55,C10,56:56)+100</f>
        <v>91</v>
      </c>
      <c r="K10" s="959">
        <v>3</v>
      </c>
      <c r="L10" s="2380"/>
      <c r="M10" s="2381"/>
      <c r="N10" s="2381"/>
      <c r="O10" s="2381"/>
      <c r="P10" s="3635"/>
      <c r="Q10" s="2868" t="str">
        <f t="shared" si="6"/>
        <v>土地使用年限（年）</v>
      </c>
      <c r="R10" s="1323" t="s">
        <v>70</v>
      </c>
      <c r="S10" s="1324">
        <f t="shared" si="0"/>
        <v>97</v>
      </c>
      <c r="T10" s="1323" t="s">
        <v>70</v>
      </c>
      <c r="U10" s="1324">
        <f t="shared" si="1"/>
        <v>94</v>
      </c>
      <c r="V10" s="1323" t="s">
        <v>70</v>
      </c>
      <c r="W10" s="1324">
        <f t="shared" si="2"/>
        <v>91</v>
      </c>
      <c r="X10" s="1325"/>
      <c r="Y10" s="3590"/>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3"/>
      <c r="M11" s="2376"/>
      <c r="N11" s="2376"/>
      <c r="O11" s="2376"/>
      <c r="P11" s="3635"/>
      <c r="Q11" s="2868">
        <f t="shared" si="6"/>
        <v>111</v>
      </c>
      <c r="R11" s="1323" t="s">
        <v>70</v>
      </c>
      <c r="S11" s="1324">
        <f t="shared" si="0"/>
        <v>99</v>
      </c>
      <c r="T11" s="1323" t="s">
        <v>70</v>
      </c>
      <c r="U11" s="1324">
        <f t="shared" si="1"/>
        <v>98</v>
      </c>
      <c r="V11" s="1323" t="s">
        <v>70</v>
      </c>
      <c r="W11" s="1324">
        <f t="shared" si="2"/>
        <v>97</v>
      </c>
      <c r="X11" s="1325"/>
      <c r="Y11" s="3590"/>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7"/>
      <c r="M12" s="2378"/>
      <c r="N12" s="2378"/>
      <c r="O12" s="2378"/>
      <c r="P12" s="3635"/>
      <c r="Q12" s="2868">
        <f t="shared" si="6"/>
        <v>111</v>
      </c>
      <c r="R12" s="1323" t="s">
        <v>70</v>
      </c>
      <c r="S12" s="1324">
        <f t="shared" si="0"/>
        <v>98</v>
      </c>
      <c r="T12" s="1323" t="s">
        <v>70</v>
      </c>
      <c r="U12" s="1324">
        <f t="shared" si="1"/>
        <v>96</v>
      </c>
      <c r="V12" s="1323" t="s">
        <v>70</v>
      </c>
      <c r="W12" s="1324">
        <f t="shared" si="2"/>
        <v>94</v>
      </c>
      <c r="X12" s="1325"/>
      <c r="Y12" s="3590"/>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5"/>
      <c r="M13" s="2376"/>
      <c r="N13" s="2376"/>
      <c r="O13" s="2376"/>
      <c r="P13" s="3635"/>
      <c r="Q13" s="2868">
        <f t="shared" si="6"/>
        <v>111</v>
      </c>
      <c r="R13" s="1323" t="s">
        <v>70</v>
      </c>
      <c r="S13" s="1324">
        <f t="shared" si="0"/>
        <v>97</v>
      </c>
      <c r="T13" s="1323" t="s">
        <v>70</v>
      </c>
      <c r="U13" s="1324">
        <f t="shared" si="1"/>
        <v>94</v>
      </c>
      <c r="V13" s="1323" t="s">
        <v>70</v>
      </c>
      <c r="W13" s="1324">
        <f t="shared" si="2"/>
        <v>91</v>
      </c>
      <c r="X13" s="1325"/>
      <c r="Y13" s="3590"/>
      <c r="Z13" s="350">
        <f t="shared" si="7"/>
        <v>111</v>
      </c>
      <c r="AA13" s="1326">
        <f t="shared" si="3"/>
        <v>1.0309278350515463</v>
      </c>
      <c r="AB13" s="1326">
        <f t="shared" si="4"/>
        <v>1.0638297872340425</v>
      </c>
      <c r="AC13" s="1326">
        <f t="shared" si="5"/>
        <v>1.098901098901099</v>
      </c>
    </row>
    <row r="14" spans="1:29" ht="94.5">
      <c r="A14" s="748" t="s">
        <v>576</v>
      </c>
      <c r="B14" s="976" t="s">
        <v>647</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5"/>
      <c r="M14" s="2376"/>
      <c r="N14" s="2376"/>
      <c r="O14" s="2376"/>
      <c r="P14" s="3650" t="s">
        <v>577</v>
      </c>
      <c r="Q14" s="2870" t="str">
        <f t="shared" si="6"/>
        <v>交通便捷度</v>
      </c>
      <c r="R14" s="1328" t="s">
        <v>70</v>
      </c>
      <c r="S14" s="1329">
        <f t="shared" si="0"/>
        <v>100</v>
      </c>
      <c r="T14" s="1328" t="s">
        <v>70</v>
      </c>
      <c r="U14" s="1329">
        <f t="shared" si="1"/>
        <v>100</v>
      </c>
      <c r="V14" s="1328" t="s">
        <v>70</v>
      </c>
      <c r="W14" s="1329">
        <f t="shared" si="2"/>
        <v>100</v>
      </c>
      <c r="X14" s="2869"/>
      <c r="Y14" s="3650" t="s">
        <v>577</v>
      </c>
      <c r="Z14" s="2871" t="str">
        <f t="shared" si="7"/>
        <v>交通便捷度</v>
      </c>
      <c r="AA14" s="1331">
        <f t="shared" si="3"/>
        <v>1</v>
      </c>
      <c r="AB14" s="1331">
        <f t="shared" si="4"/>
        <v>1</v>
      </c>
      <c r="AC14" s="1331">
        <f t="shared" si="5"/>
        <v>1</v>
      </c>
    </row>
    <row r="15" spans="1:29" ht="15">
      <c r="A15" s="751"/>
      <c r="B15" s="994"/>
      <c r="C15" s="97" t="s">
        <v>124</v>
      </c>
      <c r="D15" s="796"/>
      <c r="E15" s="795" t="s">
        <v>578</v>
      </c>
      <c r="F15" s="797"/>
      <c r="G15" s="795" t="s">
        <v>578</v>
      </c>
      <c r="H15" s="798"/>
      <c r="I15" s="795" t="s">
        <v>578</v>
      </c>
      <c r="J15" s="796"/>
      <c r="K15" s="962"/>
      <c r="L15" s="2385"/>
      <c r="M15" s="2376"/>
      <c r="N15" s="2376"/>
      <c r="O15" s="2376"/>
      <c r="P15" s="3651"/>
      <c r="Q15" s="2870"/>
      <c r="R15" s="1328"/>
      <c r="S15" s="1329"/>
      <c r="T15" s="1328"/>
      <c r="U15" s="1329"/>
      <c r="V15" s="1328"/>
      <c r="W15" s="1329"/>
      <c r="X15" s="2869"/>
      <c r="Y15" s="3651"/>
      <c r="Z15" s="2871"/>
      <c r="AA15" s="1331">
        <v>1</v>
      </c>
      <c r="AB15" s="1331">
        <v>1</v>
      </c>
      <c r="AC15" s="1331">
        <v>1</v>
      </c>
    </row>
    <row r="16" spans="1:29" ht="40.5">
      <c r="A16" s="751"/>
      <c r="B16" s="1038" t="s">
        <v>3066</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5"/>
      <c r="M16" s="2376"/>
      <c r="N16" s="2376"/>
      <c r="O16" s="2376"/>
      <c r="P16" s="3651"/>
      <c r="Q16" s="2870" t="str">
        <f>B16</f>
        <v>公共配套设施</v>
      </c>
      <c r="R16" s="1328" t="s">
        <v>70</v>
      </c>
      <c r="S16" s="1329">
        <f>F16</f>
        <v>100</v>
      </c>
      <c r="T16" s="1328" t="s">
        <v>70</v>
      </c>
      <c r="U16" s="1329">
        <f>H16</f>
        <v>100</v>
      </c>
      <c r="V16" s="1328" t="s">
        <v>70</v>
      </c>
      <c r="W16" s="1329">
        <f>J16</f>
        <v>100</v>
      </c>
      <c r="X16" s="2869"/>
      <c r="Y16" s="3651"/>
      <c r="Z16" s="2871" t="str">
        <f>Q16</f>
        <v>公共配套设施</v>
      </c>
      <c r="AA16" s="1331">
        <f t="shared" si="3"/>
        <v>1</v>
      </c>
      <c r="AB16" s="1331">
        <f t="shared" si="4"/>
        <v>1</v>
      </c>
      <c r="AC16" s="1331">
        <f t="shared" si="5"/>
        <v>1</v>
      </c>
    </row>
    <row r="17" spans="1:29" ht="15">
      <c r="A17" s="751"/>
      <c r="B17" s="979"/>
      <c r="C17" s="102" t="s">
        <v>123</v>
      </c>
      <c r="D17" s="796"/>
      <c r="E17" s="795" t="s">
        <v>579</v>
      </c>
      <c r="F17" s="797"/>
      <c r="G17" s="795" t="s">
        <v>579</v>
      </c>
      <c r="H17" s="796"/>
      <c r="I17" s="795" t="s">
        <v>579</v>
      </c>
      <c r="J17" s="796"/>
      <c r="K17" s="962"/>
      <c r="L17" s="2385"/>
      <c r="M17" s="2376"/>
      <c r="N17" s="2376"/>
      <c r="O17" s="2376"/>
      <c r="P17" s="3651"/>
      <c r="Q17" s="2870"/>
      <c r="R17" s="1328"/>
      <c r="S17" s="1329"/>
      <c r="T17" s="1328"/>
      <c r="U17" s="1329"/>
      <c r="V17" s="1328"/>
      <c r="W17" s="1329"/>
      <c r="X17" s="2869"/>
      <c r="Y17" s="3651"/>
      <c r="Z17" s="2871"/>
      <c r="AA17" s="1331">
        <v>1</v>
      </c>
      <c r="AB17" s="1331">
        <v>1</v>
      </c>
      <c r="AC17" s="1331">
        <v>1</v>
      </c>
    </row>
    <row r="18" spans="1:29" ht="40.5">
      <c r="A18" s="751"/>
      <c r="B18" s="1040" t="s">
        <v>3065</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5"/>
      <c r="M18" s="2376"/>
      <c r="N18" s="2376"/>
      <c r="O18" s="2376"/>
      <c r="P18" s="3651"/>
      <c r="Q18" s="2870" t="str">
        <f>B18</f>
        <v>基础设施水平</v>
      </c>
      <c r="R18" s="1328" t="s">
        <v>70</v>
      </c>
      <c r="S18" s="1329">
        <f>F18</f>
        <v>99</v>
      </c>
      <c r="T18" s="1328" t="s">
        <v>70</v>
      </c>
      <c r="U18" s="1329">
        <f>H18</f>
        <v>98</v>
      </c>
      <c r="V18" s="1328" t="s">
        <v>70</v>
      </c>
      <c r="W18" s="1329">
        <f>J18</f>
        <v>97</v>
      </c>
      <c r="X18" s="2869"/>
      <c r="Y18" s="3651"/>
      <c r="Z18" s="287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3"/>
      <c r="L19" s="2385"/>
      <c r="M19" s="2376"/>
      <c r="N19" s="2376"/>
      <c r="O19" s="2376"/>
      <c r="P19" s="3651"/>
      <c r="Q19" s="2870"/>
      <c r="R19" s="1328"/>
      <c r="S19" s="1329"/>
      <c r="T19" s="1328"/>
      <c r="U19" s="1329"/>
      <c r="V19" s="1328"/>
      <c r="W19" s="1329"/>
      <c r="X19" s="2869"/>
      <c r="Y19" s="3651"/>
      <c r="Z19" s="2871"/>
      <c r="AA19" s="1331">
        <v>1</v>
      </c>
      <c r="AB19" s="1331">
        <v>1</v>
      </c>
      <c r="AC19" s="1331">
        <v>1</v>
      </c>
    </row>
    <row r="20" spans="1:29" ht="54">
      <c r="A20" s="751"/>
      <c r="B20" s="978" t="s">
        <v>648</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5"/>
      <c r="M20" s="2376"/>
      <c r="N20" s="2376"/>
      <c r="O20" s="2376"/>
      <c r="P20" s="3651"/>
      <c r="Q20" s="2870" t="str">
        <f>B20</f>
        <v>自然及人文环境</v>
      </c>
      <c r="R20" s="1328" t="s">
        <v>70</v>
      </c>
      <c r="S20" s="1329">
        <f>F20</f>
        <v>100</v>
      </c>
      <c r="T20" s="1328" t="s">
        <v>70</v>
      </c>
      <c r="U20" s="1329">
        <f>H20</f>
        <v>100</v>
      </c>
      <c r="V20" s="1328" t="s">
        <v>70</v>
      </c>
      <c r="W20" s="1329">
        <f>J20</f>
        <v>100</v>
      </c>
      <c r="X20" s="2869"/>
      <c r="Y20" s="3651"/>
      <c r="Z20" s="2871" t="str">
        <f>Q20</f>
        <v>自然及人文环境</v>
      </c>
      <c r="AA20" s="1331">
        <f t="shared" si="3"/>
        <v>1</v>
      </c>
      <c r="AB20" s="1331">
        <f t="shared" si="4"/>
        <v>1</v>
      </c>
      <c r="AC20" s="1331">
        <f t="shared" si="5"/>
        <v>1</v>
      </c>
    </row>
    <row r="21" spans="1:29" ht="15">
      <c r="A21" s="751"/>
      <c r="B21" s="979"/>
      <c r="C21" s="795" t="s">
        <v>578</v>
      </c>
      <c r="D21" s="796"/>
      <c r="E21" s="795" t="s">
        <v>578</v>
      </c>
      <c r="F21" s="797"/>
      <c r="G21" s="795" t="s">
        <v>578</v>
      </c>
      <c r="H21" s="796"/>
      <c r="I21" s="795" t="s">
        <v>578</v>
      </c>
      <c r="J21" s="796"/>
      <c r="K21" s="962"/>
      <c r="L21" s="2385"/>
      <c r="M21" s="2376"/>
      <c r="N21" s="2376"/>
      <c r="O21" s="2376"/>
      <c r="P21" s="3651"/>
      <c r="Q21" s="2870"/>
      <c r="R21" s="1328"/>
      <c r="S21" s="1329"/>
      <c r="T21" s="1328"/>
      <c r="U21" s="1329"/>
      <c r="V21" s="1328"/>
      <c r="W21" s="1329"/>
      <c r="X21" s="2869"/>
      <c r="Y21" s="3651"/>
      <c r="Z21" s="2871"/>
      <c r="AA21" s="1331">
        <v>1</v>
      </c>
      <c r="AB21" s="1331">
        <v>1</v>
      </c>
      <c r="AC21" s="1331">
        <v>1</v>
      </c>
    </row>
    <row r="22" spans="1:29" ht="15">
      <c r="A22" s="751"/>
      <c r="B22" s="978" t="s">
        <v>649</v>
      </c>
      <c r="C22" s="963" t="s">
        <v>620</v>
      </c>
      <c r="D22" s="798">
        <v>100</v>
      </c>
      <c r="E22" s="963" t="s">
        <v>650</v>
      </c>
      <c r="F22" s="809">
        <f>SUMIF(71:71,E22,72:72)-SUMIF(71:71,C22,72:72)+100</f>
        <v>98</v>
      </c>
      <c r="G22" s="963" t="s">
        <v>650</v>
      </c>
      <c r="H22" s="783">
        <f>SUMIF(71:71,G22,72:72)-SUMIF(71:71,C22,72:72)+100</f>
        <v>98</v>
      </c>
      <c r="I22" s="963" t="s">
        <v>620</v>
      </c>
      <c r="J22" s="783">
        <f>SUMIF(71:71,I22,72:72)-SUMIF(71:71,C22,72:72)+100</f>
        <v>100</v>
      </c>
      <c r="K22" s="959">
        <v>2</v>
      </c>
      <c r="L22" s="2385"/>
      <c r="M22" s="2376"/>
      <c r="N22" s="2376"/>
      <c r="O22" s="2376"/>
      <c r="P22" s="3651"/>
      <c r="Q22" s="2870" t="str">
        <f>B22</f>
        <v>楼层</v>
      </c>
      <c r="R22" s="1328" t="s">
        <v>70</v>
      </c>
      <c r="S22" s="1329">
        <f>F22</f>
        <v>98</v>
      </c>
      <c r="T22" s="1328" t="s">
        <v>70</v>
      </c>
      <c r="U22" s="1329">
        <f>H22</f>
        <v>98</v>
      </c>
      <c r="V22" s="1328" t="s">
        <v>70</v>
      </c>
      <c r="W22" s="1329">
        <f>J22</f>
        <v>100</v>
      </c>
      <c r="X22" s="2869"/>
      <c r="Y22" s="3651"/>
      <c r="Z22" s="2871"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5"/>
      <c r="M23" s="2376"/>
      <c r="N23" s="2376"/>
      <c r="O23" s="2376"/>
      <c r="P23" s="3651"/>
      <c r="Q23" s="2870">
        <f>B23</f>
        <v>111</v>
      </c>
      <c r="R23" s="1328" t="s">
        <v>70</v>
      </c>
      <c r="S23" s="1329">
        <f>F23</f>
        <v>99</v>
      </c>
      <c r="T23" s="1328" t="s">
        <v>70</v>
      </c>
      <c r="U23" s="1329">
        <f>H23</f>
        <v>98</v>
      </c>
      <c r="V23" s="1328" t="s">
        <v>70</v>
      </c>
      <c r="W23" s="1329">
        <f>J23</f>
        <v>97</v>
      </c>
      <c r="X23" s="2869"/>
      <c r="Y23" s="3651"/>
      <c r="Z23" s="2871">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5"/>
      <c r="M24" s="2376"/>
      <c r="N24" s="2376"/>
      <c r="O24" s="2376"/>
      <c r="P24" s="3651"/>
      <c r="Q24" s="2870">
        <f t="shared" ref="Q24:Q36" si="11">B24</f>
        <v>111</v>
      </c>
      <c r="R24" s="1328" t="s">
        <v>70</v>
      </c>
      <c r="S24" s="1329">
        <f>F24</f>
        <v>98</v>
      </c>
      <c r="T24" s="1328" t="s">
        <v>70</v>
      </c>
      <c r="U24" s="1329">
        <f>H24</f>
        <v>96</v>
      </c>
      <c r="V24" s="1328" t="s">
        <v>70</v>
      </c>
      <c r="W24" s="1329">
        <f>J24</f>
        <v>94</v>
      </c>
      <c r="X24" s="2869"/>
      <c r="Y24" s="3651"/>
      <c r="Z24" s="2871">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7"/>
      <c r="M25" s="2378"/>
      <c r="N25" s="2378"/>
      <c r="O25" s="2378"/>
      <c r="P25" s="3651"/>
      <c r="Q25" s="2868">
        <f t="shared" si="11"/>
        <v>111</v>
      </c>
      <c r="R25" s="1323" t="s">
        <v>70</v>
      </c>
      <c r="S25" s="1324">
        <f>F25</f>
        <v>97</v>
      </c>
      <c r="T25" s="1323" t="s">
        <v>70</v>
      </c>
      <c r="U25" s="1324">
        <f>H25</f>
        <v>94</v>
      </c>
      <c r="V25" s="1323" t="s">
        <v>70</v>
      </c>
      <c r="W25" s="1324">
        <f>J25</f>
        <v>91</v>
      </c>
      <c r="X25" s="1325"/>
      <c r="Y25" s="3651"/>
      <c r="Z25" s="350">
        <f>Q25</f>
        <v>111</v>
      </c>
      <c r="AA25" s="1331">
        <f>D25/F25</f>
        <v>1.0309278350515463</v>
      </c>
      <c r="AB25" s="1331">
        <f>D25/H25</f>
        <v>1.0638297872340425</v>
      </c>
      <c r="AC25" s="1331">
        <f>D25/J25</f>
        <v>1.098901098901099</v>
      </c>
    </row>
    <row r="26" spans="1:29" ht="15">
      <c r="A26" s="999" t="s">
        <v>581</v>
      </c>
      <c r="B26" s="366" t="s">
        <v>651</v>
      </c>
      <c r="C26" s="2804" t="str">
        <f>B1</f>
        <v>住宅</v>
      </c>
      <c r="D26" s="796">
        <v>100</v>
      </c>
      <c r="E26" s="795" t="s">
        <v>652</v>
      </c>
      <c r="F26" s="797">
        <f>SUMIF(79:79,E26,80:80)-SUMIF(79:79,C26,80:80)+100</f>
        <v>97</v>
      </c>
      <c r="G26" s="795" t="s">
        <v>653</v>
      </c>
      <c r="H26" s="796">
        <f>SUMIF(79:79,G26,80:80)-SUMIF(79:79,C26,80:80)+100</f>
        <v>94</v>
      </c>
      <c r="I26" s="795" t="s">
        <v>654</v>
      </c>
      <c r="J26" s="796">
        <f>SUMIF(79:79,I26,80:80)-SUMIF(79:79,C26,80:80)+100</f>
        <v>100</v>
      </c>
      <c r="K26" s="959">
        <v>3</v>
      </c>
      <c r="L26" s="2385"/>
      <c r="M26" s="2376"/>
      <c r="N26" s="2376"/>
      <c r="O26" s="2376"/>
      <c r="P26" s="3652" t="s">
        <v>582</v>
      </c>
      <c r="Q26" s="2870" t="str">
        <f t="shared" si="11"/>
        <v>配套类型</v>
      </c>
      <c r="R26" s="1328" t="s">
        <v>70</v>
      </c>
      <c r="S26" s="1329">
        <f t="shared" ref="S26:S36" si="12">F26</f>
        <v>97</v>
      </c>
      <c r="T26" s="1328" t="s">
        <v>70</v>
      </c>
      <c r="U26" s="1329">
        <f t="shared" ref="U26:U36" si="13">H26</f>
        <v>94</v>
      </c>
      <c r="V26" s="1328" t="s">
        <v>70</v>
      </c>
      <c r="W26" s="1329">
        <f t="shared" ref="W26:W36" si="14">J26</f>
        <v>100</v>
      </c>
      <c r="X26" s="2869"/>
      <c r="Y26" s="3653" t="s">
        <v>582</v>
      </c>
      <c r="Z26" s="2871" t="str">
        <f t="shared" ref="Z26:Z36" si="15">Q26</f>
        <v>配套类型</v>
      </c>
      <c r="AA26" s="1331">
        <f t="shared" si="3"/>
        <v>1.0309278350515463</v>
      </c>
      <c r="AB26" s="1331">
        <f t="shared" si="4"/>
        <v>1.0638297872340425</v>
      </c>
      <c r="AC26" s="1331">
        <f t="shared" si="5"/>
        <v>1</v>
      </c>
    </row>
    <row r="27" spans="1:29" s="818" customFormat="1" ht="15">
      <c r="A27" s="1000"/>
      <c r="B27" s="1001" t="s">
        <v>655</v>
      </c>
      <c r="C27" s="1002" t="s">
        <v>307</v>
      </c>
      <c r="D27" s="430">
        <v>100</v>
      </c>
      <c r="E27" s="1002" t="s">
        <v>656</v>
      </c>
      <c r="F27" s="809">
        <f>SUMIF(81:81,E27,82:82)-SUMIF(81:81,C27,82:82)+100</f>
        <v>102</v>
      </c>
      <c r="G27" s="1002" t="s">
        <v>657</v>
      </c>
      <c r="H27" s="783">
        <f>SUMIF(81:81,G27,82:82)-SUMIF(81:81,C27,82:82)+100</f>
        <v>104</v>
      </c>
      <c r="I27" s="1002" t="s">
        <v>308</v>
      </c>
      <c r="J27" s="783">
        <f>SUMIF(81:81,I27,82:82)-SUMIF(81:81,C27,82:82)+100</f>
        <v>106</v>
      </c>
      <c r="K27" s="960"/>
      <c r="L27" s="2383"/>
      <c r="M27" s="2386"/>
      <c r="N27" s="2386"/>
      <c r="O27" s="2386"/>
      <c r="P27" s="3653"/>
      <c r="Q27" s="1332" t="str">
        <f t="shared" si="11"/>
        <v>项目停车位配比</v>
      </c>
      <c r="R27" s="1333" t="s">
        <v>70</v>
      </c>
      <c r="S27" s="1334">
        <f t="shared" si="12"/>
        <v>102</v>
      </c>
      <c r="T27" s="1333" t="s">
        <v>70</v>
      </c>
      <c r="U27" s="1334">
        <f t="shared" si="13"/>
        <v>104</v>
      </c>
      <c r="V27" s="1333" t="s">
        <v>70</v>
      </c>
      <c r="W27" s="1334">
        <f t="shared" si="14"/>
        <v>106</v>
      </c>
      <c r="X27" s="1335"/>
      <c r="Y27" s="3653"/>
      <c r="Z27" s="1336" t="str">
        <f t="shared" si="15"/>
        <v>项目停车位配比</v>
      </c>
      <c r="AA27" s="1331">
        <f t="shared" si="3"/>
        <v>0.98039215686274506</v>
      </c>
      <c r="AB27" s="1331">
        <f t="shared" si="4"/>
        <v>0.96153846153846156</v>
      </c>
      <c r="AC27" s="1331">
        <f t="shared" si="5"/>
        <v>0.94339622641509435</v>
      </c>
    </row>
    <row r="28" spans="1:29" ht="15">
      <c r="A28" s="1003"/>
      <c r="B28" s="1001" t="s">
        <v>658</v>
      </c>
      <c r="C28" s="808" t="s">
        <v>621</v>
      </c>
      <c r="D28" s="783">
        <v>100</v>
      </c>
      <c r="E28" s="808" t="s">
        <v>621</v>
      </c>
      <c r="F28" s="809">
        <f>SUMIF(83:83,E28,84:84)-SUMIF(83:83,C28,84:84)+100</f>
        <v>100</v>
      </c>
      <c r="G28" s="808" t="s">
        <v>629</v>
      </c>
      <c r="H28" s="783">
        <f>SUMIF(83:83,G28,84:84)-SUMIF(83:83,C28,84:84)+100</f>
        <v>97</v>
      </c>
      <c r="I28" s="808" t="s">
        <v>621</v>
      </c>
      <c r="J28" s="783">
        <f>SUMIF(83:83,I28,84:84)-SUMIF(83:83,C28,84:84)+100</f>
        <v>100</v>
      </c>
      <c r="K28" s="959">
        <v>3</v>
      </c>
      <c r="L28" s="2385"/>
      <c r="M28" s="2376"/>
      <c r="N28" s="2376"/>
      <c r="O28" s="2376"/>
      <c r="P28" s="3653"/>
      <c r="Q28" s="2870" t="str">
        <f t="shared" si="11"/>
        <v>公共部分装修</v>
      </c>
      <c r="R28" s="1328" t="s">
        <v>70</v>
      </c>
      <c r="S28" s="1329">
        <f t="shared" si="12"/>
        <v>100</v>
      </c>
      <c r="T28" s="1328" t="s">
        <v>70</v>
      </c>
      <c r="U28" s="1329">
        <f t="shared" si="13"/>
        <v>97</v>
      </c>
      <c r="V28" s="1328" t="s">
        <v>70</v>
      </c>
      <c r="W28" s="1329">
        <f t="shared" si="14"/>
        <v>100</v>
      </c>
      <c r="X28" s="2869"/>
      <c r="Y28" s="3653"/>
      <c r="Z28" s="2871" t="str">
        <f t="shared" si="15"/>
        <v>公共部分装修</v>
      </c>
      <c r="AA28" s="1331">
        <f t="shared" si="3"/>
        <v>1</v>
      </c>
      <c r="AB28" s="1331">
        <f t="shared" si="4"/>
        <v>1.0309278350515463</v>
      </c>
      <c r="AC28" s="1331">
        <f t="shared" si="5"/>
        <v>1</v>
      </c>
    </row>
    <row r="29" spans="1:29" ht="15">
      <c r="A29" s="1003"/>
      <c r="B29" s="1001" t="s">
        <v>659</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5"/>
      <c r="M29" s="2376"/>
      <c r="N29" s="2376"/>
      <c r="O29" s="2376"/>
      <c r="P29" s="3653"/>
      <c r="Q29" s="2870" t="str">
        <f t="shared" si="11"/>
        <v>成新率</v>
      </c>
      <c r="R29" s="1328" t="s">
        <v>70</v>
      </c>
      <c r="S29" s="1329">
        <f t="shared" si="12"/>
        <v>98</v>
      </c>
      <c r="T29" s="1328" t="s">
        <v>70</v>
      </c>
      <c r="U29" s="1329">
        <f t="shared" si="13"/>
        <v>100</v>
      </c>
      <c r="V29" s="1328" t="s">
        <v>70</v>
      </c>
      <c r="W29" s="1329">
        <f t="shared" si="14"/>
        <v>96</v>
      </c>
      <c r="X29" s="2869"/>
      <c r="Y29" s="3653"/>
      <c r="Z29" s="2871" t="str">
        <f t="shared" si="15"/>
        <v>成新率</v>
      </c>
      <c r="AA29" s="1331">
        <f t="shared" si="3"/>
        <v>1.0204081632653061</v>
      </c>
      <c r="AB29" s="1331">
        <f t="shared" si="4"/>
        <v>1</v>
      </c>
      <c r="AC29" s="1331">
        <f t="shared" si="5"/>
        <v>1.0416666666666667</v>
      </c>
    </row>
    <row r="30" spans="1:29" ht="15">
      <c r="A30" s="1003"/>
      <c r="B30" s="1001" t="s">
        <v>660</v>
      </c>
      <c r="C30" s="1004" t="s">
        <v>661</v>
      </c>
      <c r="D30" s="783">
        <v>100</v>
      </c>
      <c r="E30" s="1004" t="s">
        <v>662</v>
      </c>
      <c r="F30" s="809">
        <f>SUMIF(88:88,E30,89:89)-SUMIF(88:88,C30,89:89)+100</f>
        <v>103</v>
      </c>
      <c r="G30" s="1004" t="s">
        <v>663</v>
      </c>
      <c r="H30" s="783">
        <f>SUMIF(88:88,E30,89:89)-SUMIF(88:88,C30,89:89)+100</f>
        <v>103</v>
      </c>
      <c r="I30" s="1004" t="s">
        <v>661</v>
      </c>
      <c r="J30" s="783">
        <f>SUMIF(88:88,E30,89:89)-SUMIF(88:88,C30,89:89)+100</f>
        <v>103</v>
      </c>
      <c r="K30" s="959">
        <v>3</v>
      </c>
      <c r="L30" s="2385"/>
      <c r="M30" s="2376"/>
      <c r="N30" s="2376"/>
      <c r="O30" s="2376"/>
      <c r="P30" s="3653"/>
      <c r="Q30" s="2870" t="str">
        <f t="shared" si="11"/>
        <v>物业等级</v>
      </c>
      <c r="R30" s="1328" t="s">
        <v>70</v>
      </c>
      <c r="S30" s="1329">
        <f t="shared" si="12"/>
        <v>103</v>
      </c>
      <c r="T30" s="1328" t="s">
        <v>70</v>
      </c>
      <c r="U30" s="1329">
        <f t="shared" si="13"/>
        <v>103</v>
      </c>
      <c r="V30" s="1328" t="s">
        <v>70</v>
      </c>
      <c r="W30" s="1329">
        <f t="shared" si="14"/>
        <v>103</v>
      </c>
      <c r="X30" s="2869"/>
      <c r="Y30" s="3653"/>
      <c r="Z30" s="2871" t="str">
        <f t="shared" si="15"/>
        <v>物业等级</v>
      </c>
      <c r="AA30" s="1331">
        <f t="shared" si="3"/>
        <v>0.970873786407767</v>
      </c>
      <c r="AB30" s="1331">
        <f t="shared" si="4"/>
        <v>0.970873786407767</v>
      </c>
      <c r="AC30" s="1331">
        <f t="shared" si="5"/>
        <v>0.970873786407767</v>
      </c>
    </row>
    <row r="31" spans="1:29" s="412" customFormat="1" ht="15">
      <c r="A31" s="1005"/>
      <c r="B31" s="1001" t="s">
        <v>664</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7"/>
      <c r="M31" s="2378"/>
      <c r="N31" s="2378"/>
      <c r="O31" s="2378"/>
      <c r="P31" s="3653"/>
      <c r="Q31" s="2868" t="str">
        <f t="shared" si="11"/>
        <v>停车位面积</v>
      </c>
      <c r="R31" s="1323" t="s">
        <v>70</v>
      </c>
      <c r="S31" s="1324">
        <f t="shared" si="12"/>
        <v>98</v>
      </c>
      <c r="T31" s="1323" t="s">
        <v>70</v>
      </c>
      <c r="U31" s="1324">
        <f t="shared" si="13"/>
        <v>102</v>
      </c>
      <c r="V31" s="1323" t="s">
        <v>70</v>
      </c>
      <c r="W31" s="1324">
        <f t="shared" si="14"/>
        <v>100</v>
      </c>
      <c r="X31" s="1325"/>
      <c r="Y31" s="3653"/>
      <c r="Z31" s="350" t="str">
        <f t="shared" si="15"/>
        <v>停车位面积</v>
      </c>
      <c r="AA31" s="1326">
        <f t="shared" si="3"/>
        <v>1.0204081632653061</v>
      </c>
      <c r="AB31" s="1326">
        <f t="shared" si="4"/>
        <v>0.98039215686274506</v>
      </c>
      <c r="AC31" s="1326">
        <f t="shared" si="5"/>
        <v>1</v>
      </c>
    </row>
    <row r="32" spans="1:29" ht="15">
      <c r="A32" s="1003"/>
      <c r="B32" s="1001" t="s">
        <v>665</v>
      </c>
      <c r="C32" s="808" t="s">
        <v>666</v>
      </c>
      <c r="D32" s="783">
        <v>100</v>
      </c>
      <c r="E32" s="808" t="s">
        <v>666</v>
      </c>
      <c r="F32" s="809">
        <f>SUMIF(93:93,E32,94:94)-SUMIF(93:93,C32,94:94)+100</f>
        <v>100</v>
      </c>
      <c r="G32" s="808" t="s">
        <v>666</v>
      </c>
      <c r="H32" s="783">
        <f>SUMIF(93:93,G32,94:94)-SUMIF(93:93,C32,94:94)+100</f>
        <v>100</v>
      </c>
      <c r="I32" s="808" t="s">
        <v>667</v>
      </c>
      <c r="J32" s="783">
        <f>SUMIF(93:93,I32,94:94)-SUMIF(93:93,C32,94:94)+100</f>
        <v>95</v>
      </c>
      <c r="K32" s="959">
        <v>5</v>
      </c>
      <c r="L32" s="2385"/>
      <c r="M32" s="2376"/>
      <c r="N32" s="2376"/>
      <c r="O32" s="2376"/>
      <c r="P32" s="3653" t="s">
        <v>582</v>
      </c>
      <c r="Q32" s="2870" t="str">
        <f t="shared" si="11"/>
        <v>车位类型</v>
      </c>
      <c r="R32" s="1328" t="s">
        <v>70</v>
      </c>
      <c r="S32" s="1329">
        <f t="shared" si="12"/>
        <v>100</v>
      </c>
      <c r="T32" s="1328" t="s">
        <v>70</v>
      </c>
      <c r="U32" s="1329">
        <f t="shared" si="13"/>
        <v>100</v>
      </c>
      <c r="V32" s="1328" t="s">
        <v>70</v>
      </c>
      <c r="W32" s="1329">
        <f t="shared" si="14"/>
        <v>95</v>
      </c>
      <c r="X32" s="2869"/>
      <c r="Y32" s="3653" t="s">
        <v>582</v>
      </c>
      <c r="Z32" s="2871" t="str">
        <f t="shared" si="15"/>
        <v>车位类型</v>
      </c>
      <c r="AA32" s="1331">
        <f t="shared" si="3"/>
        <v>1</v>
      </c>
      <c r="AB32" s="1331">
        <f t="shared" si="4"/>
        <v>1</v>
      </c>
      <c r="AC32" s="1331">
        <f t="shared" si="5"/>
        <v>1.0526315789473684</v>
      </c>
    </row>
    <row r="33" spans="1:29" ht="15">
      <c r="A33" s="1003"/>
      <c r="B33" s="1001" t="s">
        <v>668</v>
      </c>
      <c r="C33" s="808" t="s">
        <v>669</v>
      </c>
      <c r="D33" s="783">
        <v>100</v>
      </c>
      <c r="E33" s="808" t="s">
        <v>670</v>
      </c>
      <c r="F33" s="809">
        <f>SUMIF(95:95,E33,96:96)-SUMIF(95:95,C33,96:96)+100</f>
        <v>99</v>
      </c>
      <c r="G33" s="808" t="s">
        <v>669</v>
      </c>
      <c r="H33" s="783">
        <f>SUMIF(95:95,G33,96:96)-SUMIF(95:95,C33,96:96)+100</f>
        <v>100</v>
      </c>
      <c r="I33" s="808" t="s">
        <v>670</v>
      </c>
      <c r="J33" s="783">
        <f>SUMIF(95:95,I33,96:96)-SUMIF(95:95,C33,96:96)+100</f>
        <v>99</v>
      </c>
      <c r="K33" s="959">
        <v>1</v>
      </c>
      <c r="L33" s="2385"/>
      <c r="M33" s="2376"/>
      <c r="N33" s="2376"/>
      <c r="O33" s="2376"/>
      <c r="P33" s="3653"/>
      <c r="Q33" s="2870" t="str">
        <f t="shared" si="11"/>
        <v>是否直接入户</v>
      </c>
      <c r="R33" s="1328" t="s">
        <v>70</v>
      </c>
      <c r="S33" s="1329">
        <f t="shared" si="12"/>
        <v>99</v>
      </c>
      <c r="T33" s="1328" t="s">
        <v>70</v>
      </c>
      <c r="U33" s="1329">
        <f t="shared" si="13"/>
        <v>100</v>
      </c>
      <c r="V33" s="1328" t="s">
        <v>70</v>
      </c>
      <c r="W33" s="1329">
        <f t="shared" si="14"/>
        <v>99</v>
      </c>
      <c r="X33" s="2869"/>
      <c r="Y33" s="3653"/>
      <c r="Z33" s="2871"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5"/>
      <c r="M34" s="2376"/>
      <c r="N34" s="2376"/>
      <c r="O34" s="2376"/>
      <c r="P34" s="3653"/>
      <c r="Q34" s="2870">
        <f t="shared" si="11"/>
        <v>111</v>
      </c>
      <c r="R34" s="1328" t="s">
        <v>70</v>
      </c>
      <c r="S34" s="1329">
        <f t="shared" si="12"/>
        <v>99</v>
      </c>
      <c r="T34" s="1328" t="s">
        <v>70</v>
      </c>
      <c r="U34" s="1329">
        <f t="shared" si="13"/>
        <v>98</v>
      </c>
      <c r="V34" s="1328" t="s">
        <v>70</v>
      </c>
      <c r="W34" s="1329">
        <f t="shared" si="14"/>
        <v>97</v>
      </c>
      <c r="X34" s="2869"/>
      <c r="Y34" s="3653"/>
      <c r="Z34" s="2871">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3"/>
      <c r="M35" s="2386"/>
      <c r="N35" s="2386"/>
      <c r="O35" s="2386"/>
      <c r="P35" s="3653"/>
      <c r="Q35" s="1332">
        <f t="shared" si="11"/>
        <v>111</v>
      </c>
      <c r="R35" s="1333" t="s">
        <v>70</v>
      </c>
      <c r="S35" s="1334">
        <f t="shared" si="12"/>
        <v>98</v>
      </c>
      <c r="T35" s="1333" t="s">
        <v>70</v>
      </c>
      <c r="U35" s="1334">
        <f t="shared" si="13"/>
        <v>96</v>
      </c>
      <c r="V35" s="1333" t="s">
        <v>70</v>
      </c>
      <c r="W35" s="1334">
        <f t="shared" si="14"/>
        <v>94</v>
      </c>
      <c r="X35" s="1335"/>
      <c r="Y35" s="3653"/>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5"/>
      <c r="M36" s="2376"/>
      <c r="N36" s="2376"/>
      <c r="O36" s="2376"/>
      <c r="P36" s="3653"/>
      <c r="Q36" s="2870">
        <f t="shared" si="11"/>
        <v>111</v>
      </c>
      <c r="R36" s="1328" t="s">
        <v>70</v>
      </c>
      <c r="S36" s="1329">
        <f t="shared" si="12"/>
        <v>97</v>
      </c>
      <c r="T36" s="1328" t="s">
        <v>70</v>
      </c>
      <c r="U36" s="1329">
        <f t="shared" si="13"/>
        <v>94</v>
      </c>
      <c r="V36" s="1328" t="s">
        <v>70</v>
      </c>
      <c r="W36" s="1329">
        <f t="shared" si="14"/>
        <v>91</v>
      </c>
      <c r="X36" s="2869"/>
      <c r="Y36" s="3653"/>
      <c r="Z36" s="2871">
        <f t="shared" si="15"/>
        <v>111</v>
      </c>
      <c r="AA36" s="1331">
        <f t="shared" si="3"/>
        <v>1.0309278350515463</v>
      </c>
      <c r="AB36" s="1331">
        <f t="shared" si="4"/>
        <v>1.0638297872340425</v>
      </c>
      <c r="AC36" s="1331">
        <f t="shared" si="5"/>
        <v>1.098901098901099</v>
      </c>
    </row>
    <row r="37" spans="1:29" ht="15">
      <c r="A37" s="163" t="s">
        <v>2501</v>
      </c>
      <c r="B37" s="2123" t="s">
        <v>2502</v>
      </c>
      <c r="C37" s="2872" t="s">
        <v>23</v>
      </c>
      <c r="D37" s="2873"/>
      <c r="E37" s="2874">
        <v>100000</v>
      </c>
      <c r="F37" s="2875"/>
      <c r="G37" s="2876">
        <v>120000</v>
      </c>
      <c r="H37" s="2877"/>
      <c r="I37" s="2874">
        <v>115000</v>
      </c>
      <c r="J37" s="2877"/>
      <c r="K37" s="966"/>
      <c r="L37" s="2388"/>
      <c r="M37" s="2389"/>
      <c r="N37" s="2376"/>
      <c r="O37" s="2389"/>
      <c r="P37" s="3635" t="str">
        <f>A37</f>
        <v>成交单价</v>
      </c>
      <c r="Q37" s="3635"/>
      <c r="R37" s="3755">
        <f>E37</f>
        <v>100000</v>
      </c>
      <c r="S37" s="3755"/>
      <c r="T37" s="3755">
        <f>G37</f>
        <v>120000</v>
      </c>
      <c r="U37" s="3755"/>
      <c r="V37" s="3755">
        <f>I37</f>
        <v>115000</v>
      </c>
      <c r="W37" s="3755"/>
      <c r="X37" s="1311"/>
      <c r="Y37" s="1337"/>
      <c r="Z37" s="1311"/>
      <c r="AA37" s="1311"/>
      <c r="AB37" s="1311"/>
      <c r="AC37" s="1311"/>
    </row>
    <row r="38" spans="1:29" ht="15.75" thickBot="1">
      <c r="A38" s="833" t="s">
        <v>584</v>
      </c>
      <c r="B38" s="166" t="str">
        <f>B37</f>
        <v>元/车位</v>
      </c>
      <c r="C38" s="2878" t="e">
        <f>R39</f>
        <v>#DIV/0!</v>
      </c>
      <c r="D38" s="2879"/>
      <c r="E38" s="2880" t="e">
        <f>R38</f>
        <v>#DIV/0!</v>
      </c>
      <c r="F38" s="2880"/>
      <c r="G38" s="2878" t="e">
        <f>T38</f>
        <v>#DIV/0!</v>
      </c>
      <c r="H38" s="2879"/>
      <c r="I38" s="2880" t="e">
        <f>V38</f>
        <v>#DIV/0!</v>
      </c>
      <c r="J38" s="2879"/>
      <c r="K38" s="967"/>
      <c r="L38" s="2388"/>
      <c r="M38" s="2389"/>
      <c r="N38" s="2389"/>
      <c r="O38" s="2389"/>
      <c r="P38" s="3635" t="str">
        <f>A38</f>
        <v>比较价值（元/平方米）</v>
      </c>
      <c r="Q38" s="3635"/>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1311"/>
      <c r="Y38" s="1311"/>
      <c r="Z38" s="1311"/>
      <c r="AA38" s="1311"/>
      <c r="AB38" s="1311"/>
      <c r="AC38" s="1311"/>
    </row>
    <row r="39" spans="1:29" ht="15.75" thickBot="1">
      <c r="A39" s="839" t="s">
        <v>585</v>
      </c>
      <c r="B39" s="840"/>
      <c r="C39" s="2882" t="e">
        <f>R39</f>
        <v>#DIV/0!</v>
      </c>
      <c r="D39" s="2882"/>
      <c r="E39" s="2882"/>
      <c r="F39" s="2882"/>
      <c r="G39" s="2882"/>
      <c r="H39" s="2882"/>
      <c r="I39" s="2882"/>
      <c r="J39" s="2882"/>
      <c r="K39" s="968"/>
      <c r="L39" s="2388"/>
      <c r="M39" s="2389"/>
      <c r="N39" s="2389"/>
      <c r="O39" s="2389"/>
      <c r="P39" s="3655" t="str">
        <f>A39</f>
        <v>估价对象XX用房的比较价值（楼面单价，元/平方米）</v>
      </c>
      <c r="Q39" s="3656"/>
      <c r="R39" s="3756" t="e">
        <f>IF(F1="售价",ROUND(AVERAGE(R38:V38),0),ROUND(AVERAGE(R38:V38),1))</f>
        <v>#DIV/0!</v>
      </c>
      <c r="S39" s="3756"/>
      <c r="T39" s="3756"/>
      <c r="U39" s="3756"/>
      <c r="V39" s="3756"/>
      <c r="W39" s="3756"/>
      <c r="X39" s="1311"/>
      <c r="Y39" s="1311"/>
      <c r="Z39" s="1311"/>
      <c r="AA39" s="1311"/>
      <c r="AB39" s="1311"/>
      <c r="AC39" s="1311"/>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4" t="s">
        <v>586</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4" t="s">
        <v>587</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49" customFormat="1" ht="13.5" customHeight="1">
      <c r="A44" s="2390"/>
      <c r="B44" s="2390"/>
      <c r="C44" s="844" t="s">
        <v>588</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49"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589</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5" customFormat="1" ht="15">
      <c r="A48" s="852" t="s">
        <v>3198</v>
      </c>
      <c r="B48" s="853"/>
      <c r="C48" s="3082" t="str">
        <f>YEAR(C7)&amp;"-"&amp;MONTH(C7)</f>
        <v>2017-8</v>
      </c>
      <c r="D48" s="3083">
        <f>EDATE(C48,-1)</f>
        <v>42917</v>
      </c>
      <c r="E48" s="3083">
        <f t="shared" ref="E48:O48" si="16">EDATE(D48,-1)</f>
        <v>42887</v>
      </c>
      <c r="F48" s="3083">
        <f t="shared" si="16"/>
        <v>42856</v>
      </c>
      <c r="G48" s="3083">
        <f t="shared" si="16"/>
        <v>42826</v>
      </c>
      <c r="H48" s="3083">
        <f t="shared" si="16"/>
        <v>42795</v>
      </c>
      <c r="I48" s="3083">
        <f t="shared" si="16"/>
        <v>42767</v>
      </c>
      <c r="J48" s="3083">
        <f t="shared" si="16"/>
        <v>42736</v>
      </c>
      <c r="K48" s="3083">
        <f t="shared" si="16"/>
        <v>42705</v>
      </c>
      <c r="L48" s="3083">
        <f t="shared" si="16"/>
        <v>42675</v>
      </c>
      <c r="M48" s="3083">
        <f t="shared" si="16"/>
        <v>42644</v>
      </c>
      <c r="N48" s="3083">
        <f t="shared" si="16"/>
        <v>42614</v>
      </c>
      <c r="O48" s="3083">
        <f t="shared" si="16"/>
        <v>42583</v>
      </c>
      <c r="P48" s="2903"/>
      <c r="Q48" s="2904"/>
      <c r="R48" s="2904"/>
      <c r="S48" s="2904"/>
      <c r="T48" s="2904"/>
      <c r="U48" s="2904"/>
      <c r="V48" s="2904"/>
      <c r="W48" s="2904"/>
      <c r="X48" s="2904"/>
      <c r="Y48" s="2904"/>
      <c r="Z48" s="2904"/>
      <c r="AA48" s="2904"/>
      <c r="AB48" s="2904"/>
      <c r="AC48" s="2904"/>
    </row>
    <row r="49" spans="1:29" s="412" customFormat="1" ht="15">
      <c r="A49" s="856"/>
      <c r="B49" s="857"/>
      <c r="C49" s="3071">
        <v>100</v>
      </c>
      <c r="D49" s="859">
        <v>99.5</v>
      </c>
      <c r="E49" s="859">
        <v>99</v>
      </c>
      <c r="F49" s="859">
        <v>98.5</v>
      </c>
      <c r="G49" s="859">
        <v>98</v>
      </c>
      <c r="H49" s="859">
        <v>97.5</v>
      </c>
      <c r="I49" s="859">
        <v>97</v>
      </c>
      <c r="J49" s="859">
        <v>96.5</v>
      </c>
      <c r="K49" s="859">
        <v>96</v>
      </c>
      <c r="L49" s="859">
        <v>95.5</v>
      </c>
      <c r="M49" s="860">
        <v>95</v>
      </c>
      <c r="N49" s="859">
        <v>94.5</v>
      </c>
      <c r="O49" s="860">
        <v>94</v>
      </c>
      <c r="P49" s="2893"/>
      <c r="Q49" s="2892"/>
      <c r="R49" s="2892"/>
      <c r="S49" s="2892"/>
      <c r="T49" s="2892"/>
      <c r="U49" s="2892"/>
      <c r="V49" s="2892"/>
      <c r="W49" s="2892"/>
      <c r="X49" s="2892"/>
      <c r="Y49" s="2892"/>
      <c r="Z49" s="2892"/>
      <c r="AA49" s="2892"/>
      <c r="AB49" s="2892"/>
      <c r="AC49" s="2892"/>
    </row>
    <row r="50" spans="1:29" s="412" customFormat="1" ht="15.75" thickBot="1">
      <c r="A50" s="862" t="s">
        <v>590</v>
      </c>
      <c r="B50" s="863"/>
      <c r="C50" s="864"/>
      <c r="D50" s="865"/>
      <c r="E50" s="865"/>
      <c r="F50" s="865"/>
      <c r="G50" s="865"/>
      <c r="H50" s="865"/>
      <c r="I50" s="865"/>
      <c r="J50" s="865"/>
      <c r="K50" s="865"/>
      <c r="L50" s="865"/>
      <c r="M50" s="866"/>
      <c r="N50" s="865"/>
      <c r="O50" s="866"/>
      <c r="P50" s="2893"/>
      <c r="Q50" s="2888"/>
      <c r="R50" s="2892"/>
      <c r="S50" s="2892"/>
      <c r="T50" s="2892"/>
      <c r="U50" s="2892"/>
      <c r="V50" s="2892"/>
      <c r="W50" s="2892"/>
      <c r="X50" s="2892"/>
      <c r="Y50" s="2892"/>
      <c r="Z50" s="2892"/>
      <c r="AA50" s="2892"/>
      <c r="AB50" s="2892"/>
      <c r="AC50" s="2892"/>
    </row>
    <row r="51" spans="1:29" s="412" customFormat="1" ht="15">
      <c r="A51" s="868" t="s">
        <v>570</v>
      </c>
      <c r="B51" s="857"/>
      <c r="C51" s="869" t="s">
        <v>591</v>
      </c>
      <c r="D51" s="870" t="s">
        <v>592</v>
      </c>
      <c r="E51" s="870"/>
      <c r="F51" s="870"/>
      <c r="G51" s="870"/>
      <c r="H51" s="870"/>
      <c r="I51" s="870"/>
      <c r="J51" s="870"/>
      <c r="K51" s="870"/>
      <c r="L51" s="871"/>
      <c r="M51" s="872"/>
      <c r="N51" s="2396"/>
      <c r="O51" s="2396"/>
      <c r="P51" s="2891"/>
      <c r="Q51" s="2888"/>
      <c r="R51" s="2892"/>
      <c r="S51" s="2892"/>
      <c r="T51" s="2892"/>
      <c r="U51" s="2892"/>
      <c r="V51" s="2892"/>
      <c r="W51" s="2892"/>
      <c r="X51" s="2892"/>
      <c r="Y51" s="2892"/>
      <c r="Z51" s="2892"/>
      <c r="AA51" s="2892"/>
      <c r="AB51" s="2892"/>
      <c r="AC51" s="2892"/>
    </row>
    <row r="52" spans="1:29" s="412" customFormat="1" ht="15.75" thickBot="1">
      <c r="A52" s="868"/>
      <c r="B52" s="857"/>
      <c r="C52" s="986">
        <v>100</v>
      </c>
      <c r="D52" s="859">
        <v>97</v>
      </c>
      <c r="E52" s="859"/>
      <c r="F52" s="859"/>
      <c r="G52" s="859"/>
      <c r="H52" s="859"/>
      <c r="I52" s="859"/>
      <c r="J52" s="859"/>
      <c r="K52" s="859"/>
      <c r="L52" s="859"/>
      <c r="M52" s="861"/>
      <c r="N52" s="2396"/>
      <c r="O52" s="2396"/>
      <c r="P52" s="2893"/>
      <c r="Q52" s="2888"/>
      <c r="R52" s="2892"/>
      <c r="S52" s="2892"/>
      <c r="T52" s="2892"/>
      <c r="U52" s="2892"/>
      <c r="V52" s="2892"/>
      <c r="W52" s="2892"/>
      <c r="X52" s="2892"/>
      <c r="Y52" s="2892"/>
      <c r="Z52" s="2892"/>
      <c r="AA52" s="2892"/>
      <c r="AB52" s="2892"/>
      <c r="AC52" s="2892"/>
    </row>
    <row r="53" spans="1:29">
      <c r="A53" s="874" t="s">
        <v>593</v>
      </c>
      <c r="B53" s="875" t="s">
        <v>594</v>
      </c>
      <c r="C53" s="876" t="str">
        <f>C9</f>
        <v>车库</v>
      </c>
      <c r="D53" s="877"/>
      <c r="E53" s="877"/>
      <c r="F53" s="877"/>
      <c r="G53" s="877"/>
      <c r="H53" s="877"/>
      <c r="I53" s="877"/>
      <c r="J53" s="877"/>
      <c r="K53" s="878"/>
      <c r="L53" s="879"/>
      <c r="M53" s="880"/>
      <c r="N53" s="2397"/>
      <c r="O53" s="2397"/>
      <c r="P53" s="2894"/>
      <c r="Q53" s="2888"/>
      <c r="R53" s="2389"/>
      <c r="S53" s="2389"/>
      <c r="T53" s="2389"/>
      <c r="U53" s="2389"/>
      <c r="V53" s="2389"/>
      <c r="W53" s="2389"/>
      <c r="X53" s="2389"/>
      <c r="Y53" s="2389"/>
      <c r="Z53" s="2389"/>
      <c r="AA53" s="2389"/>
      <c r="AB53" s="2389"/>
      <c r="AC53" s="2389"/>
    </row>
    <row r="54" spans="1:29" ht="15.75" thickBot="1">
      <c r="A54" s="881"/>
      <c r="B54" s="882"/>
      <c r="C54" s="883">
        <v>100</v>
      </c>
      <c r="D54" s="883"/>
      <c r="E54" s="883"/>
      <c r="F54" s="883"/>
      <c r="G54" s="883"/>
      <c r="H54" s="883"/>
      <c r="I54" s="883"/>
      <c r="J54" s="883"/>
      <c r="K54" s="883"/>
      <c r="L54" s="883"/>
      <c r="M54" s="884"/>
      <c r="N54" s="2398"/>
      <c r="O54" s="2398"/>
      <c r="P54" s="2894"/>
      <c r="Q54" s="2888"/>
      <c r="R54" s="2389"/>
      <c r="S54" s="2389"/>
      <c r="T54" s="2389"/>
      <c r="U54" s="2389"/>
      <c r="V54" s="2389"/>
      <c r="W54" s="2389"/>
      <c r="X54" s="2389"/>
      <c r="Y54" s="2389"/>
      <c r="Z54" s="2389"/>
      <c r="AA54" s="2389"/>
      <c r="AB54" s="2389"/>
      <c r="AC54" s="2389"/>
    </row>
    <row r="55" spans="1:29" ht="27.75" thickTop="1">
      <c r="A55" s="881"/>
      <c r="B55" s="885" t="s">
        <v>574</v>
      </c>
      <c r="C55" s="886" t="s">
        <v>595</v>
      </c>
      <c r="D55" s="886" t="s">
        <v>596</v>
      </c>
      <c r="E55" s="886" t="s">
        <v>597</v>
      </c>
      <c r="F55" s="886" t="s">
        <v>598</v>
      </c>
      <c r="G55" s="886" t="s">
        <v>622</v>
      </c>
      <c r="H55" s="886" t="s">
        <v>623</v>
      </c>
      <c r="I55" s="886" t="s">
        <v>624</v>
      </c>
      <c r="J55" s="886"/>
      <c r="K55" s="887"/>
      <c r="L55" s="888"/>
      <c r="M55" s="889"/>
      <c r="N55" s="2397"/>
      <c r="O55" s="2397"/>
      <c r="P55" s="2894"/>
      <c r="Q55" s="2888"/>
      <c r="R55" s="2389"/>
      <c r="S55" s="2389"/>
      <c r="T55" s="2389"/>
      <c r="U55" s="2389"/>
      <c r="V55" s="2389"/>
      <c r="W55" s="2389"/>
      <c r="X55" s="2389"/>
      <c r="Y55" s="2389"/>
      <c r="Z55" s="2389"/>
      <c r="AA55" s="2389"/>
      <c r="AB55" s="2389"/>
      <c r="AC55" s="2389"/>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8"/>
      <c r="O56" s="2398"/>
      <c r="P56" s="2894"/>
      <c r="Q56" s="2888"/>
      <c r="R56" s="2389"/>
      <c r="S56" s="2389"/>
      <c r="T56" s="2389"/>
      <c r="U56" s="2389"/>
      <c r="V56" s="2389"/>
      <c r="W56" s="2389"/>
      <c r="X56" s="2389"/>
      <c r="Y56" s="2389"/>
      <c r="Z56" s="2389"/>
      <c r="AA56" s="2389"/>
      <c r="AB56" s="2389"/>
      <c r="AC56" s="2389"/>
    </row>
    <row r="57" spans="1:29" ht="15.75" thickTop="1">
      <c r="A57" s="881"/>
      <c r="B57" s="1007">
        <f>B11</f>
        <v>111</v>
      </c>
      <c r="C57" s="896">
        <v>111</v>
      </c>
      <c r="D57" s="896">
        <v>222</v>
      </c>
      <c r="E57" s="896">
        <v>333</v>
      </c>
      <c r="F57" s="896">
        <v>444</v>
      </c>
      <c r="G57" s="896"/>
      <c r="H57" s="896"/>
      <c r="I57" s="896"/>
      <c r="J57" s="896"/>
      <c r="K57" s="897"/>
      <c r="L57" s="898"/>
      <c r="M57" s="899"/>
      <c r="N57" s="2397"/>
      <c r="O57" s="2397"/>
      <c r="P57" s="2894"/>
      <c r="Q57" s="2888"/>
      <c r="R57" s="2389"/>
      <c r="S57" s="2389"/>
      <c r="T57" s="2389"/>
      <c r="U57" s="2389"/>
      <c r="V57" s="2389"/>
      <c r="W57" s="2389"/>
      <c r="X57" s="2389"/>
      <c r="Y57" s="2389"/>
      <c r="Z57" s="2389"/>
      <c r="AA57" s="2389"/>
      <c r="AB57" s="2389"/>
      <c r="AC57" s="2389"/>
    </row>
    <row r="58" spans="1:29" ht="15.75" thickBot="1">
      <c r="A58" s="881"/>
      <c r="B58" s="882"/>
      <c r="C58" s="907">
        <v>100</v>
      </c>
      <c r="D58" s="883">
        <v>99</v>
      </c>
      <c r="E58" s="883">
        <v>98</v>
      </c>
      <c r="F58" s="883">
        <v>97</v>
      </c>
      <c r="G58" s="883"/>
      <c r="H58" s="883"/>
      <c r="I58" s="883"/>
      <c r="J58" s="883"/>
      <c r="K58" s="883"/>
      <c r="L58" s="883"/>
      <c r="M58" s="884"/>
      <c r="N58" s="2398"/>
      <c r="O58" s="2398"/>
      <c r="P58" s="2894"/>
      <c r="Q58" s="2888"/>
      <c r="R58" s="2389"/>
      <c r="S58" s="2389"/>
      <c r="T58" s="2389"/>
      <c r="U58" s="2389"/>
      <c r="V58" s="2389"/>
      <c r="W58" s="2389"/>
      <c r="X58" s="2389"/>
      <c r="Y58" s="2389"/>
      <c r="Z58" s="2389"/>
      <c r="AA58" s="2389"/>
      <c r="AB58" s="2389"/>
      <c r="AC58" s="2389"/>
    </row>
    <row r="59" spans="1:29" s="818" customFormat="1" ht="15.75" thickTop="1">
      <c r="A59" s="900"/>
      <c r="B59" s="885">
        <f>B12</f>
        <v>111</v>
      </c>
      <c r="C59" s="896">
        <v>111</v>
      </c>
      <c r="D59" s="896">
        <v>222</v>
      </c>
      <c r="E59" s="896">
        <v>333</v>
      </c>
      <c r="F59" s="896">
        <v>444</v>
      </c>
      <c r="G59" s="901"/>
      <c r="H59" s="902"/>
      <c r="I59" s="902"/>
      <c r="J59" s="902"/>
      <c r="K59" s="902"/>
      <c r="L59" s="903"/>
      <c r="M59" s="904"/>
      <c r="N59" s="2399"/>
      <c r="O59" s="2399"/>
      <c r="P59" s="2895"/>
      <c r="Q59" s="2896"/>
      <c r="R59" s="2897"/>
      <c r="S59" s="2897"/>
      <c r="T59" s="2897"/>
      <c r="U59" s="2897"/>
      <c r="V59" s="2897"/>
      <c r="W59" s="2897"/>
      <c r="X59" s="2897"/>
      <c r="Y59" s="2897"/>
      <c r="Z59" s="2897"/>
      <c r="AA59" s="2897"/>
      <c r="AB59" s="2897"/>
      <c r="AC59" s="2897"/>
    </row>
    <row r="60" spans="1:29" s="818" customFormat="1" ht="15.75" thickBot="1">
      <c r="A60" s="900"/>
      <c r="B60" s="890"/>
      <c r="C60" s="907">
        <v>100</v>
      </c>
      <c r="D60" s="883">
        <v>98</v>
      </c>
      <c r="E60" s="883">
        <v>96</v>
      </c>
      <c r="F60" s="883">
        <v>94</v>
      </c>
      <c r="G60" s="883"/>
      <c r="H60" s="883"/>
      <c r="I60" s="883"/>
      <c r="J60" s="883"/>
      <c r="K60" s="883"/>
      <c r="L60" s="883"/>
      <c r="M60" s="884"/>
      <c r="N60" s="2398"/>
      <c r="O60" s="2398"/>
      <c r="P60" s="2895"/>
      <c r="Q60" s="2896"/>
      <c r="R60" s="2897"/>
      <c r="S60" s="2897"/>
      <c r="T60" s="2897"/>
      <c r="U60" s="2897"/>
      <c r="V60" s="2897"/>
      <c r="W60" s="2897"/>
      <c r="X60" s="2897"/>
      <c r="Y60" s="2897"/>
      <c r="Z60" s="2897"/>
      <c r="AA60" s="2897"/>
      <c r="AB60" s="2897"/>
      <c r="AC60" s="2897"/>
    </row>
    <row r="61" spans="1:29" s="818" customFormat="1" ht="15.75" thickTop="1">
      <c r="A61" s="900"/>
      <c r="B61" s="885">
        <f>B13</f>
        <v>111</v>
      </c>
      <c r="C61" s="901">
        <v>111</v>
      </c>
      <c r="D61" s="901">
        <v>222</v>
      </c>
      <c r="E61" s="901">
        <v>333</v>
      </c>
      <c r="F61" s="901">
        <v>444</v>
      </c>
      <c r="G61" s="901"/>
      <c r="H61" s="902"/>
      <c r="I61" s="902"/>
      <c r="J61" s="902"/>
      <c r="K61" s="902"/>
      <c r="L61" s="903"/>
      <c r="M61" s="904"/>
      <c r="N61" s="2399"/>
      <c r="O61" s="2399"/>
      <c r="P61" s="2898"/>
      <c r="Q61" s="2899"/>
      <c r="R61" s="2897"/>
      <c r="S61" s="2897"/>
      <c r="T61" s="2897"/>
      <c r="U61" s="2897"/>
      <c r="V61" s="2897"/>
      <c r="W61" s="2897"/>
      <c r="X61" s="2897"/>
      <c r="Y61" s="2897"/>
      <c r="Z61" s="2897"/>
      <c r="AA61" s="2897"/>
      <c r="AB61" s="2897"/>
      <c r="AC61" s="2897"/>
    </row>
    <row r="62" spans="1:29" s="818" customFormat="1" ht="15.75" thickBot="1">
      <c r="A62" s="900"/>
      <c r="B62" s="890"/>
      <c r="C62" s="907">
        <v>100</v>
      </c>
      <c r="D62" s="907">
        <v>97</v>
      </c>
      <c r="E62" s="907">
        <v>94</v>
      </c>
      <c r="F62" s="907">
        <v>91</v>
      </c>
      <c r="G62" s="907"/>
      <c r="H62" s="909"/>
      <c r="I62" s="909"/>
      <c r="J62" s="909"/>
      <c r="K62" s="909"/>
      <c r="L62" s="909"/>
      <c r="M62" s="910"/>
      <c r="N62" s="2399"/>
      <c r="O62" s="2399"/>
      <c r="P62" s="2895"/>
      <c r="Q62" s="2896"/>
      <c r="R62" s="2897"/>
      <c r="S62" s="2897"/>
      <c r="T62" s="2897"/>
      <c r="U62" s="2897"/>
      <c r="V62" s="2897"/>
      <c r="W62" s="2897"/>
      <c r="X62" s="2897"/>
      <c r="Y62" s="2897"/>
      <c r="Z62" s="2897"/>
      <c r="AA62" s="2897"/>
      <c r="AB62" s="2897"/>
      <c r="AC62" s="2897"/>
    </row>
    <row r="63" spans="1:29" ht="15" thickTop="1">
      <c r="A63" s="874" t="s">
        <v>576</v>
      </c>
      <c r="B63" s="875" t="s">
        <v>605</v>
      </c>
      <c r="C63" s="920" t="s">
        <v>600</v>
      </c>
      <c r="D63" s="920" t="s">
        <v>601</v>
      </c>
      <c r="E63" s="920" t="s">
        <v>602</v>
      </c>
      <c r="F63" s="920" t="s">
        <v>603</v>
      </c>
      <c r="G63" s="920" t="s">
        <v>604</v>
      </c>
      <c r="H63" s="876"/>
      <c r="I63" s="876"/>
      <c r="J63" s="876"/>
      <c r="K63" s="921"/>
      <c r="L63" s="922"/>
      <c r="M63" s="923"/>
      <c r="N63" s="2397"/>
      <c r="O63" s="2397"/>
      <c r="P63" s="2900"/>
      <c r="Q63" s="2888"/>
      <c r="R63" s="2389"/>
      <c r="S63" s="2389"/>
      <c r="T63" s="2389"/>
      <c r="U63" s="2389"/>
      <c r="V63" s="2389"/>
      <c r="W63" s="2389"/>
      <c r="X63" s="2389"/>
      <c r="Y63" s="2389"/>
      <c r="Z63" s="2389"/>
      <c r="AA63" s="2389"/>
      <c r="AB63" s="2389"/>
      <c r="AC63" s="2389"/>
    </row>
    <row r="64" spans="1:29" ht="15.75" thickBot="1">
      <c r="A64" s="881"/>
      <c r="B64" s="890"/>
      <c r="C64" s="891">
        <v>100</v>
      </c>
      <c r="D64" s="891">
        <f>C64-$K14</f>
        <v>98</v>
      </c>
      <c r="E64" s="891">
        <f>D64-$K14</f>
        <v>96</v>
      </c>
      <c r="F64" s="891">
        <f>E64-$K14</f>
        <v>94</v>
      </c>
      <c r="G64" s="891">
        <f>F64-$K14</f>
        <v>92</v>
      </c>
      <c r="H64" s="891"/>
      <c r="I64" s="891"/>
      <c r="J64" s="891"/>
      <c r="K64" s="891"/>
      <c r="L64" s="891"/>
      <c r="M64" s="892"/>
      <c r="N64" s="2398"/>
      <c r="O64" s="2398"/>
      <c r="P64" s="2894"/>
      <c r="Q64" s="2888"/>
      <c r="R64" s="2389"/>
      <c r="S64" s="2389"/>
      <c r="T64" s="2389"/>
      <c r="U64" s="2389"/>
      <c r="V64" s="2389"/>
      <c r="W64" s="2389"/>
      <c r="X64" s="2389"/>
      <c r="Y64" s="2389"/>
      <c r="Z64" s="2389"/>
      <c r="AA64" s="2389"/>
      <c r="AB64" s="2389"/>
      <c r="AC64" s="2389"/>
    </row>
    <row r="65" spans="1:29" ht="15.75" thickTop="1">
      <c r="A65" s="881"/>
      <c r="B65" s="1059" t="s">
        <v>3037</v>
      </c>
      <c r="C65" s="925" t="s">
        <v>600</v>
      </c>
      <c r="D65" s="925" t="s">
        <v>601</v>
      </c>
      <c r="E65" s="925" t="s">
        <v>602</v>
      </c>
      <c r="F65" s="925" t="s">
        <v>603</v>
      </c>
      <c r="G65" s="925" t="s">
        <v>604</v>
      </c>
      <c r="H65" s="886"/>
      <c r="I65" s="886"/>
      <c r="J65" s="886"/>
      <c r="K65" s="887"/>
      <c r="L65" s="888"/>
      <c r="M65" s="889"/>
      <c r="N65" s="2397"/>
      <c r="O65" s="2397"/>
      <c r="P65" s="2894"/>
      <c r="Q65" s="2888"/>
      <c r="R65" s="2389"/>
      <c r="S65" s="2389"/>
      <c r="T65" s="2389"/>
      <c r="U65" s="2389"/>
      <c r="V65" s="2389"/>
      <c r="W65" s="2389"/>
      <c r="X65" s="2389"/>
      <c r="Y65" s="2389"/>
      <c r="Z65" s="2389"/>
      <c r="AA65" s="2389"/>
      <c r="AB65" s="2389"/>
      <c r="AC65" s="2389"/>
    </row>
    <row r="66" spans="1:29" ht="15.75" thickBot="1">
      <c r="A66" s="881"/>
      <c r="B66" s="890"/>
      <c r="C66" s="891">
        <v>100</v>
      </c>
      <c r="D66" s="891">
        <f>C66-$K16</f>
        <v>97</v>
      </c>
      <c r="E66" s="891">
        <f>D66-$K16</f>
        <v>94</v>
      </c>
      <c r="F66" s="891">
        <f>E66-$K16</f>
        <v>91</v>
      </c>
      <c r="G66" s="891">
        <f>F66-$K16</f>
        <v>88</v>
      </c>
      <c r="H66" s="891"/>
      <c r="I66" s="891"/>
      <c r="J66" s="891"/>
      <c r="K66" s="891"/>
      <c r="L66" s="891"/>
      <c r="M66" s="892"/>
      <c r="N66" s="2398"/>
      <c r="O66" s="2398"/>
      <c r="P66" s="2894"/>
      <c r="Q66" s="2888"/>
      <c r="R66" s="2389"/>
      <c r="S66" s="2389"/>
      <c r="T66" s="2389"/>
      <c r="U66" s="2389"/>
      <c r="V66" s="2389"/>
      <c r="W66" s="2389"/>
      <c r="X66" s="2389"/>
      <c r="Y66" s="2389"/>
      <c r="Z66" s="2389"/>
      <c r="AA66" s="2389"/>
      <c r="AB66" s="2389"/>
      <c r="AC66" s="2389"/>
    </row>
    <row r="67" spans="1:29" ht="15.75" thickTop="1">
      <c r="A67" s="881"/>
      <c r="B67" s="1061" t="s">
        <v>3067</v>
      </c>
      <c r="C67" s="213" t="s">
        <v>3057</v>
      </c>
      <c r="D67" s="213" t="s">
        <v>3058</v>
      </c>
      <c r="E67" s="213" t="s">
        <v>3059</v>
      </c>
      <c r="F67" s="213" t="s">
        <v>3060</v>
      </c>
      <c r="G67" s="213" t="s">
        <v>3061</v>
      </c>
      <c r="H67" s="886"/>
      <c r="I67" s="886"/>
      <c r="J67" s="886"/>
      <c r="K67" s="886"/>
      <c r="L67" s="886"/>
      <c r="M67" s="2801"/>
      <c r="N67" s="2398"/>
      <c r="O67" s="2398"/>
      <c r="P67" s="2894"/>
      <c r="Q67" s="2888"/>
      <c r="R67" s="2389"/>
      <c r="S67" s="2389"/>
      <c r="T67" s="2389"/>
      <c r="U67" s="2389"/>
      <c r="V67" s="2389"/>
      <c r="W67" s="2389"/>
      <c r="X67" s="2389"/>
      <c r="Y67" s="2389"/>
      <c r="Z67" s="2389"/>
      <c r="AA67" s="2389"/>
      <c r="AB67" s="2389"/>
      <c r="AC67" s="2389"/>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8"/>
      <c r="O68" s="2398"/>
      <c r="P68" s="2894"/>
      <c r="Q68" s="2888"/>
      <c r="R68" s="2389"/>
      <c r="S68" s="2389"/>
      <c r="T68" s="2389"/>
      <c r="U68" s="2389"/>
      <c r="V68" s="2389"/>
      <c r="W68" s="2389"/>
      <c r="X68" s="2389"/>
      <c r="Y68" s="2389"/>
      <c r="Z68" s="2389"/>
      <c r="AA68" s="2389"/>
      <c r="AB68" s="2389"/>
      <c r="AC68" s="2389"/>
    </row>
    <row r="69" spans="1:29" ht="15.75" thickTop="1">
      <c r="A69" s="881"/>
      <c r="B69" s="885" t="s">
        <v>607</v>
      </c>
      <c r="C69" s="925" t="s">
        <v>600</v>
      </c>
      <c r="D69" s="925" t="s">
        <v>601</v>
      </c>
      <c r="E69" s="925" t="s">
        <v>602</v>
      </c>
      <c r="F69" s="925" t="s">
        <v>603</v>
      </c>
      <c r="G69" s="925" t="s">
        <v>604</v>
      </c>
      <c r="H69" s="886"/>
      <c r="I69" s="886"/>
      <c r="J69" s="886"/>
      <c r="K69" s="887"/>
      <c r="L69" s="888"/>
      <c r="M69" s="889"/>
      <c r="N69" s="2397"/>
      <c r="O69" s="2397"/>
      <c r="P69" s="2894"/>
      <c r="Q69" s="2888"/>
      <c r="R69" s="2389"/>
      <c r="S69" s="2389"/>
      <c r="T69" s="2389"/>
      <c r="U69" s="2389"/>
      <c r="V69" s="2389"/>
      <c r="W69" s="2389"/>
      <c r="X69" s="2389"/>
      <c r="Y69" s="2389"/>
      <c r="Z69" s="2389"/>
      <c r="AA69" s="2389"/>
      <c r="AB69" s="2389"/>
      <c r="AC69" s="2389"/>
    </row>
    <row r="70" spans="1:29" ht="15.75" thickBot="1">
      <c r="A70" s="881"/>
      <c r="B70" s="890"/>
      <c r="C70" s="891">
        <v>100</v>
      </c>
      <c r="D70" s="891">
        <f>C70-$K20</f>
        <v>99</v>
      </c>
      <c r="E70" s="891">
        <f>D70-$K20</f>
        <v>98</v>
      </c>
      <c r="F70" s="891">
        <f>E70-$K20</f>
        <v>97</v>
      </c>
      <c r="G70" s="891">
        <f>F70-$K20</f>
        <v>96</v>
      </c>
      <c r="H70" s="891"/>
      <c r="I70" s="891"/>
      <c r="J70" s="891"/>
      <c r="K70" s="891"/>
      <c r="L70" s="891"/>
      <c r="M70" s="892"/>
      <c r="N70" s="2398"/>
      <c r="O70" s="2398"/>
      <c r="P70" s="2894"/>
      <c r="Q70" s="2888"/>
      <c r="R70" s="2389"/>
      <c r="S70" s="2389"/>
      <c r="T70" s="2389"/>
      <c r="U70" s="2389"/>
      <c r="V70" s="2389"/>
      <c r="W70" s="2389"/>
      <c r="X70" s="2389"/>
      <c r="Y70" s="2389"/>
      <c r="Z70" s="2389"/>
      <c r="AA70" s="2389"/>
      <c r="AB70" s="2389"/>
      <c r="AC70" s="2389"/>
    </row>
    <row r="71" spans="1:29" ht="15.75" thickTop="1">
      <c r="A71" s="881"/>
      <c r="B71" s="885" t="s">
        <v>608</v>
      </c>
      <c r="C71" s="901" t="s">
        <v>671</v>
      </c>
      <c r="D71" s="901" t="s">
        <v>672</v>
      </c>
      <c r="E71" s="901"/>
      <c r="F71" s="901"/>
      <c r="G71" s="901"/>
      <c r="H71" s="930"/>
      <c r="I71" s="930"/>
      <c r="J71" s="930"/>
      <c r="K71" s="931"/>
      <c r="L71" s="932"/>
      <c r="M71" s="933"/>
      <c r="N71" s="2397"/>
      <c r="O71" s="2397"/>
      <c r="P71" s="2894"/>
      <c r="Q71" s="2888"/>
      <c r="R71" s="2389"/>
      <c r="S71" s="2389"/>
      <c r="T71" s="2389"/>
      <c r="U71" s="2389"/>
      <c r="V71" s="2389"/>
      <c r="W71" s="2389"/>
      <c r="X71" s="2389"/>
      <c r="Y71" s="2389"/>
      <c r="Z71" s="2389"/>
      <c r="AA71" s="2389"/>
      <c r="AB71" s="2389"/>
      <c r="AC71" s="2389"/>
    </row>
    <row r="72" spans="1:29" ht="15.75" thickBot="1">
      <c r="A72" s="881"/>
      <c r="B72" s="890"/>
      <c r="C72" s="891">
        <v>100</v>
      </c>
      <c r="D72" s="891">
        <f>C72-$K22</f>
        <v>98</v>
      </c>
      <c r="E72" s="891">
        <f>D72-$K22</f>
        <v>96</v>
      </c>
      <c r="F72" s="891">
        <f>E72-$K22</f>
        <v>94</v>
      </c>
      <c r="G72" s="891">
        <f>F72-$K22</f>
        <v>92</v>
      </c>
      <c r="H72" s="891"/>
      <c r="I72" s="891"/>
      <c r="J72" s="891"/>
      <c r="K72" s="891"/>
      <c r="L72" s="891"/>
      <c r="M72" s="892"/>
      <c r="N72" s="2398"/>
      <c r="O72" s="2398"/>
      <c r="P72" s="2894"/>
      <c r="Q72" s="2888"/>
      <c r="R72" s="2389"/>
      <c r="S72" s="2389"/>
      <c r="T72" s="2389"/>
      <c r="U72" s="2389"/>
      <c r="V72" s="2389"/>
      <c r="W72" s="2389"/>
      <c r="X72" s="2389"/>
      <c r="Y72" s="2389"/>
      <c r="Z72" s="2389"/>
      <c r="AA72" s="2389"/>
      <c r="AB72" s="2389"/>
      <c r="AC72" s="2389"/>
    </row>
    <row r="73" spans="1:29" s="412" customFormat="1" ht="15.75" thickTop="1">
      <c r="A73" s="926"/>
      <c r="B73" s="885">
        <f>B23</f>
        <v>111</v>
      </c>
      <c r="C73" s="896">
        <v>111</v>
      </c>
      <c r="D73" s="896">
        <v>222</v>
      </c>
      <c r="E73" s="896">
        <v>333</v>
      </c>
      <c r="F73" s="896">
        <v>444</v>
      </c>
      <c r="G73" s="901"/>
      <c r="H73" s="901"/>
      <c r="I73" s="901"/>
      <c r="J73" s="901"/>
      <c r="K73" s="901"/>
      <c r="L73" s="927"/>
      <c r="M73" s="928"/>
      <c r="N73" s="2396"/>
      <c r="O73" s="2396"/>
      <c r="P73" s="2894"/>
      <c r="Q73" s="2888"/>
      <c r="R73" s="2892"/>
      <c r="S73" s="2892"/>
      <c r="T73" s="2892"/>
      <c r="U73" s="2892"/>
      <c r="V73" s="2892"/>
      <c r="W73" s="2892"/>
      <c r="X73" s="2892"/>
      <c r="Y73" s="2892"/>
      <c r="Z73" s="2892"/>
      <c r="AA73" s="2892"/>
      <c r="AB73" s="2892"/>
      <c r="AC73" s="2892"/>
    </row>
    <row r="74" spans="1:29" s="412" customFormat="1" ht="15.75" thickBot="1">
      <c r="A74" s="926"/>
      <c r="B74" s="890"/>
      <c r="C74" s="907">
        <v>100</v>
      </c>
      <c r="D74" s="883">
        <v>99</v>
      </c>
      <c r="E74" s="883">
        <v>98</v>
      </c>
      <c r="F74" s="883">
        <v>97</v>
      </c>
      <c r="G74" s="883"/>
      <c r="H74" s="883"/>
      <c r="I74" s="883"/>
      <c r="J74" s="883"/>
      <c r="K74" s="883"/>
      <c r="L74" s="883"/>
      <c r="M74" s="884"/>
      <c r="N74" s="2398"/>
      <c r="O74" s="2398"/>
      <c r="P74" s="2894"/>
      <c r="Q74" s="2888"/>
      <c r="R74" s="2892"/>
      <c r="S74" s="2892"/>
      <c r="T74" s="2892"/>
      <c r="U74" s="2892"/>
      <c r="V74" s="2892"/>
      <c r="W74" s="2892"/>
      <c r="X74" s="2892"/>
      <c r="Y74" s="2892"/>
      <c r="Z74" s="2892"/>
      <c r="AA74" s="2892"/>
      <c r="AB74" s="2892"/>
      <c r="AC74" s="2892"/>
    </row>
    <row r="75" spans="1:29" s="412" customFormat="1" ht="15.75" thickTop="1">
      <c r="A75" s="926"/>
      <c r="B75" s="885">
        <f>B24</f>
        <v>111</v>
      </c>
      <c r="C75" s="896">
        <v>111</v>
      </c>
      <c r="D75" s="896">
        <v>222</v>
      </c>
      <c r="E75" s="896">
        <v>333</v>
      </c>
      <c r="F75" s="896">
        <v>444</v>
      </c>
      <c r="G75" s="901"/>
      <c r="H75" s="901"/>
      <c r="I75" s="901"/>
      <c r="J75" s="901"/>
      <c r="K75" s="901"/>
      <c r="L75" s="901"/>
      <c r="M75" s="928"/>
      <c r="N75" s="2396"/>
      <c r="O75" s="2396"/>
      <c r="P75" s="2894"/>
      <c r="Q75" s="2888"/>
      <c r="R75" s="2892"/>
      <c r="S75" s="2892"/>
      <c r="T75" s="2892"/>
      <c r="U75" s="2892"/>
      <c r="V75" s="2892"/>
      <c r="W75" s="2892"/>
      <c r="X75" s="2892"/>
      <c r="Y75" s="2892"/>
      <c r="Z75" s="2892"/>
      <c r="AA75" s="2892"/>
      <c r="AB75" s="2892"/>
      <c r="AC75" s="2892"/>
    </row>
    <row r="76" spans="1:29" s="412" customFormat="1" ht="15.75" thickBot="1">
      <c r="A76" s="926"/>
      <c r="B76" s="890"/>
      <c r="C76" s="907">
        <v>100</v>
      </c>
      <c r="D76" s="883">
        <v>98</v>
      </c>
      <c r="E76" s="883">
        <v>96</v>
      </c>
      <c r="F76" s="883">
        <v>94</v>
      </c>
      <c r="G76" s="883"/>
      <c r="H76" s="883"/>
      <c r="I76" s="883"/>
      <c r="J76" s="883"/>
      <c r="K76" s="883"/>
      <c r="L76" s="883"/>
      <c r="M76" s="884"/>
      <c r="N76" s="2398"/>
      <c r="O76" s="2398"/>
      <c r="P76" s="2894"/>
      <c r="Q76" s="2888"/>
      <c r="R76" s="2892"/>
      <c r="S76" s="2892"/>
      <c r="T76" s="2892"/>
      <c r="U76" s="2892"/>
      <c r="V76" s="2892"/>
      <c r="W76" s="2892"/>
      <c r="X76" s="2892"/>
      <c r="Y76" s="2892"/>
      <c r="Z76" s="2892"/>
      <c r="AA76" s="2892"/>
      <c r="AB76" s="2892"/>
      <c r="AC76" s="2892"/>
    </row>
    <row r="77" spans="1:29" s="818" customFormat="1" ht="15.75" thickTop="1">
      <c r="A77" s="900"/>
      <c r="B77" s="885">
        <f>B25</f>
        <v>111</v>
      </c>
      <c r="C77" s="901">
        <v>111</v>
      </c>
      <c r="D77" s="901">
        <v>222</v>
      </c>
      <c r="E77" s="901">
        <v>333</v>
      </c>
      <c r="F77" s="901">
        <v>444</v>
      </c>
      <c r="G77" s="901"/>
      <c r="H77" s="902"/>
      <c r="I77" s="902"/>
      <c r="J77" s="902"/>
      <c r="K77" s="902"/>
      <c r="L77" s="903"/>
      <c r="M77" s="904"/>
      <c r="N77" s="2399"/>
      <c r="O77" s="2399"/>
      <c r="P77" s="2895"/>
      <c r="Q77" s="2896"/>
      <c r="R77" s="2897"/>
      <c r="S77" s="2897"/>
      <c r="T77" s="2897"/>
      <c r="U77" s="2897"/>
      <c r="V77" s="2897"/>
      <c r="W77" s="2897"/>
      <c r="X77" s="2897"/>
      <c r="Y77" s="2897"/>
      <c r="Z77" s="2897"/>
      <c r="AA77" s="2897"/>
      <c r="AB77" s="2897"/>
      <c r="AC77" s="2897"/>
    </row>
    <row r="78" spans="1:29" s="818" customFormat="1" ht="15.75" thickBot="1">
      <c r="A78" s="900"/>
      <c r="B78" s="890"/>
      <c r="C78" s="907">
        <v>100</v>
      </c>
      <c r="D78" s="907">
        <v>97</v>
      </c>
      <c r="E78" s="907">
        <v>94</v>
      </c>
      <c r="F78" s="907">
        <v>91</v>
      </c>
      <c r="G78" s="883"/>
      <c r="H78" s="883"/>
      <c r="I78" s="883"/>
      <c r="J78" s="883"/>
      <c r="K78" s="883"/>
      <c r="L78" s="883"/>
      <c r="M78" s="884"/>
      <c r="N78" s="2399"/>
      <c r="O78" s="2399"/>
      <c r="P78" s="2895"/>
      <c r="Q78" s="2896"/>
      <c r="R78" s="2897"/>
      <c r="S78" s="2897"/>
      <c r="T78" s="2897"/>
      <c r="U78" s="2897"/>
      <c r="V78" s="2897"/>
      <c r="W78" s="2897"/>
      <c r="X78" s="2897"/>
      <c r="Y78" s="2897"/>
      <c r="Z78" s="2897"/>
      <c r="AA78" s="2897"/>
      <c r="AB78" s="2897"/>
      <c r="AC78" s="2897"/>
    </row>
    <row r="79" spans="1:29" ht="27.75" thickTop="1">
      <c r="A79" s="874" t="s">
        <v>581</v>
      </c>
      <c r="B79" s="875" t="s">
        <v>673</v>
      </c>
      <c r="C79" s="876" t="str">
        <f>C26</f>
        <v>住宅</v>
      </c>
      <c r="D79" s="877" t="s">
        <v>674</v>
      </c>
      <c r="E79" s="877" t="s">
        <v>675</v>
      </c>
      <c r="F79" s="877"/>
      <c r="G79" s="877"/>
      <c r="H79" s="877"/>
      <c r="I79" s="877"/>
      <c r="J79" s="877"/>
      <c r="K79" s="878"/>
      <c r="L79" s="879"/>
      <c r="M79" s="880"/>
      <c r="N79" s="2397"/>
      <c r="O79" s="2397"/>
      <c r="P79" s="2894"/>
      <c r="Q79" s="2888"/>
      <c r="R79" s="2389"/>
      <c r="S79" s="2389"/>
      <c r="T79" s="2389"/>
      <c r="U79" s="2389"/>
      <c r="V79" s="2389"/>
      <c r="W79" s="2389"/>
      <c r="X79" s="2389"/>
      <c r="Y79" s="2389"/>
      <c r="Z79" s="2389"/>
      <c r="AA79" s="2389"/>
      <c r="AB79" s="2389"/>
      <c r="AC79" s="238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1"/>
      <c r="B81" s="885" t="s">
        <v>676</v>
      </c>
      <c r="C81" s="1008" t="s">
        <v>307</v>
      </c>
      <c r="D81" s="1008" t="s">
        <v>310</v>
      </c>
      <c r="E81" s="1008" t="s">
        <v>309</v>
      </c>
      <c r="F81" s="1008" t="s">
        <v>308</v>
      </c>
      <c r="G81" s="1008"/>
      <c r="H81" s="1008"/>
      <c r="I81" s="1008"/>
      <c r="J81" s="1008"/>
      <c r="K81" s="1009"/>
      <c r="L81" s="1010"/>
      <c r="M81" s="1011"/>
      <c r="N81" s="2396"/>
      <c r="O81" s="2396"/>
      <c r="P81" s="2894"/>
      <c r="Q81" s="2888"/>
      <c r="R81" s="2389"/>
      <c r="S81" s="2389"/>
      <c r="T81" s="2389"/>
      <c r="U81" s="2389"/>
      <c r="V81" s="2389"/>
      <c r="W81" s="2389"/>
      <c r="X81" s="2389"/>
      <c r="Y81" s="2389"/>
      <c r="Z81" s="2389"/>
      <c r="AA81" s="2389"/>
      <c r="AB81" s="2389"/>
      <c r="AC81" s="2389"/>
    </row>
    <row r="82" spans="1:29" s="818" customFormat="1" ht="15.75" thickBot="1">
      <c r="A82" s="900"/>
      <c r="B82" s="890"/>
      <c r="C82" s="907">
        <v>100</v>
      </c>
      <c r="D82" s="883">
        <v>102</v>
      </c>
      <c r="E82" s="883">
        <v>104</v>
      </c>
      <c r="F82" s="883">
        <v>106</v>
      </c>
      <c r="G82" s="883">
        <v>108</v>
      </c>
      <c r="H82" s="883">
        <v>110</v>
      </c>
      <c r="I82" s="883"/>
      <c r="J82" s="883"/>
      <c r="K82" s="883"/>
      <c r="L82" s="883"/>
      <c r="M82" s="884"/>
      <c r="N82" s="2398"/>
      <c r="O82" s="2398"/>
      <c r="P82" s="2895"/>
      <c r="Q82" s="2896"/>
      <c r="R82" s="2897"/>
      <c r="S82" s="2897"/>
      <c r="T82" s="2897"/>
      <c r="U82" s="2897"/>
      <c r="V82" s="2897"/>
      <c r="W82" s="2897"/>
      <c r="X82" s="2897"/>
      <c r="Y82" s="2897"/>
      <c r="Z82" s="2897"/>
      <c r="AA82" s="2897"/>
      <c r="AB82" s="2897"/>
      <c r="AC82" s="2897"/>
    </row>
    <row r="83" spans="1:29" ht="15" thickTop="1">
      <c r="A83" s="946"/>
      <c r="B83" s="885" t="s">
        <v>609</v>
      </c>
      <c r="C83" s="901" t="s">
        <v>610</v>
      </c>
      <c r="D83" s="901" t="s">
        <v>630</v>
      </c>
      <c r="E83" s="930"/>
      <c r="F83" s="930"/>
      <c r="G83" s="930"/>
      <c r="H83" s="930"/>
      <c r="I83" s="930"/>
      <c r="J83" s="930"/>
      <c r="K83" s="931"/>
      <c r="L83" s="932"/>
      <c r="M83" s="933"/>
      <c r="N83" s="2397"/>
      <c r="O83" s="2397"/>
      <c r="P83" s="2894"/>
      <c r="Q83" s="2888"/>
      <c r="R83" s="2389"/>
      <c r="S83" s="2389"/>
      <c r="T83" s="2389"/>
      <c r="U83" s="2389"/>
      <c r="V83" s="2389"/>
      <c r="W83" s="2389"/>
      <c r="X83" s="2389"/>
      <c r="Y83" s="2389"/>
      <c r="Z83" s="2389"/>
      <c r="AA83" s="2389"/>
      <c r="AB83" s="2389"/>
      <c r="AC83" s="238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6"/>
      <c r="B85" s="885" t="s">
        <v>677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7"/>
      <c r="O85" s="2397"/>
      <c r="P85" s="2894"/>
      <c r="Q85" s="2888"/>
      <c r="R85" s="2389"/>
      <c r="S85" s="2389"/>
      <c r="T85" s="2389"/>
      <c r="U85" s="2389"/>
      <c r="V85" s="2389"/>
      <c r="W85" s="2389"/>
      <c r="X85" s="2389"/>
      <c r="Y85" s="2389"/>
      <c r="Z85" s="2389"/>
      <c r="AA85" s="2389"/>
      <c r="AB85" s="2389"/>
      <c r="AC85" s="2389"/>
    </row>
    <row r="86" spans="1:29">
      <c r="A86" s="946"/>
      <c r="B86" s="893"/>
      <c r="C86" s="950">
        <v>0.5</v>
      </c>
      <c r="D86" s="950">
        <v>0.6</v>
      </c>
      <c r="E86" s="950">
        <v>0.7</v>
      </c>
      <c r="F86" s="950">
        <v>0.8</v>
      </c>
      <c r="G86" s="950">
        <v>0.9</v>
      </c>
      <c r="H86" s="950">
        <v>1.0001</v>
      </c>
      <c r="I86" s="970"/>
      <c r="J86" s="970"/>
      <c r="K86" s="971"/>
      <c r="L86" s="972"/>
      <c r="M86" s="973"/>
      <c r="N86" s="2397"/>
      <c r="O86" s="2397"/>
      <c r="P86" s="2894"/>
      <c r="Q86" s="2888"/>
      <c r="R86" s="2389"/>
      <c r="S86" s="2389"/>
      <c r="T86" s="2389"/>
      <c r="U86" s="2389"/>
      <c r="V86" s="2389"/>
      <c r="W86" s="2389"/>
      <c r="X86" s="2389"/>
      <c r="Y86" s="2389"/>
      <c r="Z86" s="2389"/>
      <c r="AA86" s="2389"/>
      <c r="AB86" s="2389"/>
      <c r="AC86" s="238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6"/>
      <c r="B88" s="893" t="s">
        <v>678</v>
      </c>
      <c r="C88" s="877" t="s">
        <v>679</v>
      </c>
      <c r="D88" s="877" t="s">
        <v>680</v>
      </c>
      <c r="E88" s="877" t="s">
        <v>681</v>
      </c>
      <c r="F88" s="877"/>
      <c r="G88" s="877"/>
      <c r="H88" s="877"/>
      <c r="I88" s="877"/>
      <c r="J88" s="877"/>
      <c r="K88" s="878"/>
      <c r="L88" s="879"/>
      <c r="M88" s="880"/>
      <c r="N88" s="2397"/>
      <c r="O88" s="2397"/>
      <c r="P88" s="2894"/>
      <c r="Q88" s="2888"/>
      <c r="R88" s="2389"/>
      <c r="S88" s="2389"/>
      <c r="T88" s="2389"/>
      <c r="U88" s="2389"/>
      <c r="V88" s="2389"/>
      <c r="W88" s="2389"/>
      <c r="X88" s="2389"/>
      <c r="Y88" s="2389"/>
      <c r="Z88" s="2389"/>
      <c r="AA88" s="2389"/>
      <c r="AB88" s="2389"/>
      <c r="AC88" s="238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8"/>
      <c r="O89" s="2398"/>
      <c r="P89" s="2894"/>
      <c r="Q89" s="2888"/>
      <c r="R89" s="2389"/>
      <c r="S89" s="2389"/>
      <c r="T89" s="2389"/>
      <c r="U89" s="2389"/>
      <c r="V89" s="2389"/>
      <c r="W89" s="2389"/>
      <c r="X89" s="2389"/>
      <c r="Y89" s="2389"/>
      <c r="Z89" s="2389"/>
      <c r="AA89" s="2389"/>
      <c r="AB89" s="2389"/>
      <c r="AC89" s="2389"/>
    </row>
    <row r="90" spans="1:29" s="818" customFormat="1" ht="15" thickTop="1">
      <c r="A90" s="940"/>
      <c r="B90" s="885" t="s">
        <v>682</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9"/>
      <c r="O90" s="2399"/>
      <c r="P90" s="2895"/>
      <c r="Q90" s="2896"/>
      <c r="R90" s="2897"/>
      <c r="S90" s="2897"/>
      <c r="T90" s="2897"/>
      <c r="U90" s="2897"/>
      <c r="V90" s="2897"/>
      <c r="W90" s="2897"/>
      <c r="X90" s="2897"/>
      <c r="Y90" s="2897"/>
      <c r="Z90" s="2897"/>
      <c r="AA90" s="2897"/>
      <c r="AB90" s="2897"/>
      <c r="AC90" s="2897"/>
    </row>
    <row r="91" spans="1:29" s="818" customFormat="1">
      <c r="A91" s="940"/>
      <c r="B91" s="893"/>
      <c r="C91" s="942">
        <v>20</v>
      </c>
      <c r="D91" s="942">
        <v>30</v>
      </c>
      <c r="E91" s="942">
        <v>45</v>
      </c>
      <c r="F91" s="942"/>
      <c r="G91" s="942"/>
      <c r="H91" s="942"/>
      <c r="I91" s="942"/>
      <c r="J91" s="943"/>
      <c r="K91" s="943"/>
      <c r="L91" s="944"/>
      <c r="M91" s="945"/>
      <c r="N91" s="2399"/>
      <c r="O91" s="2399"/>
      <c r="P91" s="2895"/>
      <c r="Q91" s="2896"/>
      <c r="R91" s="2897"/>
      <c r="S91" s="2897"/>
      <c r="T91" s="2897"/>
      <c r="U91" s="2897"/>
      <c r="V91" s="2897"/>
      <c r="W91" s="2897"/>
      <c r="X91" s="2897"/>
      <c r="Y91" s="2897"/>
      <c r="Z91" s="2897"/>
      <c r="AA91" s="2897"/>
      <c r="AB91" s="2897"/>
      <c r="AC91" s="2897"/>
    </row>
    <row r="92" spans="1:29" s="818" customFormat="1" ht="15.75" thickBot="1">
      <c r="A92" s="900"/>
      <c r="B92" s="890"/>
      <c r="C92" s="907">
        <v>100</v>
      </c>
      <c r="D92" s="883">
        <v>102</v>
      </c>
      <c r="E92" s="883">
        <v>104</v>
      </c>
      <c r="F92" s="883">
        <v>106</v>
      </c>
      <c r="G92" s="883">
        <v>108</v>
      </c>
      <c r="H92" s="883">
        <v>110</v>
      </c>
      <c r="I92" s="883"/>
      <c r="J92" s="883"/>
      <c r="K92" s="883"/>
      <c r="L92" s="883"/>
      <c r="M92" s="884"/>
      <c r="N92" s="2399"/>
      <c r="O92" s="2399"/>
      <c r="P92" s="2895"/>
      <c r="Q92" s="2896"/>
      <c r="R92" s="2897"/>
      <c r="S92" s="2897"/>
      <c r="T92" s="2897"/>
      <c r="U92" s="2897"/>
      <c r="V92" s="2897"/>
      <c r="W92" s="2897"/>
      <c r="X92" s="2897"/>
      <c r="Y92" s="2897"/>
      <c r="Z92" s="2897"/>
      <c r="AA92" s="2897"/>
      <c r="AB92" s="2897"/>
      <c r="AC92" s="2897"/>
    </row>
    <row r="93" spans="1:29" ht="15" thickTop="1">
      <c r="A93" s="946"/>
      <c r="B93" s="885" t="s">
        <v>683</v>
      </c>
      <c r="C93" s="901" t="s">
        <v>684</v>
      </c>
      <c r="D93" s="901" t="s">
        <v>685</v>
      </c>
      <c r="E93" s="930"/>
      <c r="F93" s="930"/>
      <c r="G93" s="930"/>
      <c r="H93" s="930"/>
      <c r="I93" s="930"/>
      <c r="J93" s="930"/>
      <c r="K93" s="931"/>
      <c r="L93" s="932"/>
      <c r="M93" s="933"/>
      <c r="N93" s="2397"/>
      <c r="O93" s="2397"/>
      <c r="P93" s="2894"/>
      <c r="Q93" s="2888"/>
      <c r="R93" s="2389"/>
      <c r="S93" s="2389"/>
      <c r="T93" s="2389"/>
      <c r="U93" s="2389"/>
      <c r="V93" s="2389"/>
      <c r="W93" s="2389"/>
      <c r="X93" s="2389"/>
      <c r="Y93" s="2389"/>
      <c r="Z93" s="2389"/>
      <c r="AA93" s="2389"/>
      <c r="AB93" s="2389"/>
      <c r="AC93" s="238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6"/>
      <c r="B95" s="885" t="s">
        <v>686</v>
      </c>
      <c r="C95" s="877" t="s">
        <v>687</v>
      </c>
      <c r="D95" s="877" t="s">
        <v>688</v>
      </c>
      <c r="E95" s="877"/>
      <c r="F95" s="877"/>
      <c r="G95" s="877"/>
      <c r="H95" s="877"/>
      <c r="I95" s="877"/>
      <c r="J95" s="877"/>
      <c r="K95" s="878"/>
      <c r="L95" s="879"/>
      <c r="M95" s="880"/>
      <c r="N95" s="2397"/>
      <c r="O95" s="2397"/>
      <c r="P95" s="2894"/>
      <c r="Q95" s="2888"/>
      <c r="R95" s="2389"/>
      <c r="S95" s="2389"/>
      <c r="T95" s="2389"/>
      <c r="U95" s="2389"/>
      <c r="V95" s="2389"/>
      <c r="W95" s="2389"/>
      <c r="X95" s="2389"/>
      <c r="Y95" s="2389"/>
      <c r="Z95" s="2389"/>
      <c r="AA95" s="2389"/>
      <c r="AB95" s="2389"/>
      <c r="AC95" s="2389"/>
    </row>
    <row r="96" spans="1:29" ht="15.75" thickBot="1">
      <c r="A96" s="881"/>
      <c r="B96" s="890"/>
      <c r="C96" s="891">
        <v>100</v>
      </c>
      <c r="D96" s="891">
        <f>C96-$K33</f>
        <v>99</v>
      </c>
      <c r="E96" s="891">
        <f>D96-$K33</f>
        <v>98</v>
      </c>
      <c r="F96" s="891">
        <f>E96-$K33</f>
        <v>97</v>
      </c>
      <c r="G96" s="891">
        <f>F96-$K33</f>
        <v>96</v>
      </c>
      <c r="H96" s="891"/>
      <c r="I96" s="891"/>
      <c r="J96" s="891"/>
      <c r="K96" s="891"/>
      <c r="L96" s="891"/>
      <c r="M96" s="892"/>
      <c r="N96" s="2398"/>
      <c r="O96" s="2398"/>
      <c r="P96" s="2894"/>
      <c r="Q96" s="2888"/>
      <c r="R96" s="2389"/>
      <c r="S96" s="2389"/>
      <c r="T96" s="2389"/>
      <c r="U96" s="2389"/>
      <c r="V96" s="2389"/>
      <c r="W96" s="2389"/>
      <c r="X96" s="2389"/>
      <c r="Y96" s="2389"/>
      <c r="Z96" s="2389"/>
      <c r="AA96" s="2389"/>
      <c r="AB96" s="2389"/>
      <c r="AC96" s="2389"/>
    </row>
    <row r="97" spans="1:29" ht="15" thickTop="1">
      <c r="A97" s="946"/>
      <c r="B97" s="983">
        <f>B34</f>
        <v>111</v>
      </c>
      <c r="C97" s="896">
        <v>111</v>
      </c>
      <c r="D97" s="896">
        <v>222</v>
      </c>
      <c r="E97" s="896">
        <v>333</v>
      </c>
      <c r="F97" s="896">
        <v>444</v>
      </c>
      <c r="G97" s="901"/>
      <c r="H97" s="902"/>
      <c r="I97" s="902"/>
      <c r="J97" s="902"/>
      <c r="K97" s="902"/>
      <c r="L97" s="903"/>
      <c r="M97" s="904"/>
      <c r="N97" s="2398"/>
      <c r="O97" s="2398"/>
      <c r="P97" s="2901"/>
      <c r="Q97" s="2902"/>
      <c r="R97" s="2389"/>
      <c r="S97" s="2389"/>
      <c r="T97" s="2389"/>
      <c r="U97" s="2389"/>
      <c r="V97" s="2389"/>
      <c r="W97" s="2389"/>
      <c r="X97" s="2389"/>
      <c r="Y97" s="2389"/>
      <c r="Z97" s="2389"/>
      <c r="AA97" s="2389"/>
      <c r="AB97" s="2389"/>
      <c r="AC97" s="2389"/>
    </row>
    <row r="98" spans="1:29" ht="15.75" thickBot="1">
      <c r="A98" s="881"/>
      <c r="B98" s="890"/>
      <c r="C98" s="907">
        <v>100</v>
      </c>
      <c r="D98" s="883">
        <v>99</v>
      </c>
      <c r="E98" s="883">
        <v>98</v>
      </c>
      <c r="F98" s="883">
        <v>97</v>
      </c>
      <c r="G98" s="907"/>
      <c r="H98" s="909"/>
      <c r="I98" s="909"/>
      <c r="J98" s="909"/>
      <c r="K98" s="909"/>
      <c r="L98" s="909"/>
      <c r="M98" s="910"/>
      <c r="N98" s="2398"/>
      <c r="O98" s="2398"/>
      <c r="P98" s="2894"/>
      <c r="Q98" s="2888"/>
      <c r="R98" s="2389"/>
      <c r="S98" s="2389"/>
      <c r="T98" s="2389"/>
      <c r="U98" s="2389"/>
      <c r="V98" s="2389"/>
      <c r="W98" s="2389"/>
      <c r="X98" s="2389"/>
      <c r="Y98" s="2389"/>
      <c r="Z98" s="2389"/>
      <c r="AA98" s="2389"/>
      <c r="AB98" s="2389"/>
      <c r="AC98" s="2389"/>
    </row>
    <row r="99" spans="1:29" s="818" customFormat="1" ht="15" thickTop="1">
      <c r="A99" s="940"/>
      <c r="B99" s="885">
        <f>B35</f>
        <v>111</v>
      </c>
      <c r="C99" s="896">
        <v>111</v>
      </c>
      <c r="D99" s="896">
        <v>222</v>
      </c>
      <c r="E99" s="896">
        <v>333</v>
      </c>
      <c r="F99" s="896">
        <v>444</v>
      </c>
      <c r="G99" s="901"/>
      <c r="H99" s="902"/>
      <c r="I99" s="902"/>
      <c r="J99" s="902"/>
      <c r="K99" s="902"/>
      <c r="L99" s="903"/>
      <c r="M99" s="904"/>
      <c r="N99" s="2399"/>
      <c r="O99" s="2399"/>
      <c r="P99" s="2895"/>
      <c r="Q99" s="2896"/>
      <c r="R99" s="2897"/>
      <c r="S99" s="2897"/>
      <c r="T99" s="2897"/>
      <c r="U99" s="2897"/>
      <c r="V99" s="2897"/>
      <c r="W99" s="2897"/>
      <c r="X99" s="2897"/>
      <c r="Y99" s="2897"/>
      <c r="Z99" s="2897"/>
      <c r="AA99" s="2897"/>
      <c r="AB99" s="2897"/>
      <c r="AC99" s="2897"/>
    </row>
    <row r="100" spans="1:29" s="818" customFormat="1" ht="15.75" thickBot="1">
      <c r="A100" s="900"/>
      <c r="B100" s="882"/>
      <c r="C100" s="907">
        <v>100</v>
      </c>
      <c r="D100" s="883">
        <v>98</v>
      </c>
      <c r="E100" s="883">
        <v>96</v>
      </c>
      <c r="F100" s="883">
        <v>94</v>
      </c>
      <c r="G100" s="907"/>
      <c r="H100" s="909"/>
      <c r="I100" s="909"/>
      <c r="J100" s="909"/>
      <c r="K100" s="909"/>
      <c r="L100" s="909"/>
      <c r="M100" s="910"/>
      <c r="N100" s="2399"/>
      <c r="O100" s="2399"/>
      <c r="P100" s="2895"/>
      <c r="Q100" s="2896"/>
      <c r="R100" s="2897"/>
      <c r="S100" s="2897"/>
      <c r="T100" s="2897"/>
      <c r="U100" s="2897"/>
      <c r="V100" s="2897"/>
      <c r="W100" s="2897"/>
      <c r="X100" s="2897"/>
      <c r="Y100" s="2897"/>
      <c r="Z100" s="2897"/>
      <c r="AA100" s="2897"/>
      <c r="AB100" s="2897"/>
      <c r="AC100" s="2897"/>
    </row>
    <row r="101" spans="1:29" ht="15" thickTop="1">
      <c r="A101" s="946"/>
      <c r="B101" s="885">
        <f>B36</f>
        <v>111</v>
      </c>
      <c r="C101" s="901">
        <v>111</v>
      </c>
      <c r="D101" s="901">
        <v>222</v>
      </c>
      <c r="E101" s="901">
        <v>333</v>
      </c>
      <c r="F101" s="901">
        <v>444</v>
      </c>
      <c r="G101" s="901"/>
      <c r="H101" s="902"/>
      <c r="I101" s="902"/>
      <c r="J101" s="902"/>
      <c r="K101" s="902"/>
      <c r="L101" s="903"/>
      <c r="M101" s="904"/>
      <c r="N101" s="2397"/>
      <c r="O101" s="2397"/>
      <c r="P101" s="2894"/>
      <c r="Q101" s="2888"/>
      <c r="R101" s="2389"/>
      <c r="S101" s="2389"/>
      <c r="T101" s="2389"/>
      <c r="U101" s="2389"/>
      <c r="V101" s="2389"/>
      <c r="W101" s="2389"/>
      <c r="X101" s="2389"/>
      <c r="Y101" s="2389"/>
      <c r="Z101" s="2389"/>
      <c r="AA101" s="2389"/>
      <c r="AB101" s="2389"/>
      <c r="AC101" s="2389"/>
    </row>
    <row r="102" spans="1:29" ht="15.75" thickBot="1">
      <c r="A102" s="881"/>
      <c r="B102" s="890"/>
      <c r="C102" s="907">
        <v>100</v>
      </c>
      <c r="D102" s="907">
        <v>97</v>
      </c>
      <c r="E102" s="907">
        <v>94</v>
      </c>
      <c r="F102" s="907">
        <v>91</v>
      </c>
      <c r="G102" s="907"/>
      <c r="H102" s="909"/>
      <c r="I102" s="909"/>
      <c r="J102" s="909"/>
      <c r="K102" s="909"/>
      <c r="L102" s="909"/>
      <c r="M102" s="910"/>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3" customFormat="1" ht="28.5" customHeight="1" thickBot="1">
      <c r="A1" s="3162" t="s">
        <v>553</v>
      </c>
      <c r="B1" s="3174" t="s">
        <v>42</v>
      </c>
      <c r="C1" s="3164" t="s">
        <v>632</v>
      </c>
      <c r="D1" s="3145"/>
      <c r="E1" s="3175"/>
      <c r="F1" s="3147" t="s">
        <v>3098</v>
      </c>
      <c r="G1" s="3176" t="s">
        <v>634</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5" customFormat="1" ht="28.5" customHeight="1" thickTop="1">
      <c r="A2" s="3161" t="s">
        <v>635</v>
      </c>
      <c r="B2" s="2883" t="e">
        <f ca="1">IF(C2="——",ROUND(B3*D3/10000,0),ROUND(B3*D3/10000,0)-D2)</f>
        <v>#DIV/0!</v>
      </c>
      <c r="C2" s="3139" t="s">
        <v>3100</v>
      </c>
      <c r="D2" s="2369" t="e">
        <f ca="1">SUMIF(INDIRECT("'"&amp;F2&amp;"'"&amp;"!A:A"),"承租人权益价值",INDIRECT("'"&amp;F2&amp;"'"&amp;"!c:c"))</f>
        <v>#N/A</v>
      </c>
      <c r="E2" s="3140" t="s">
        <v>1105</v>
      </c>
      <c r="F2" s="3141" t="s">
        <v>3072</v>
      </c>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636</v>
      </c>
      <c r="B3" s="956" t="e">
        <f>C37</f>
        <v>#DIV/0!</v>
      </c>
      <c r="C3" s="747" t="s">
        <v>637</v>
      </c>
      <c r="D3" s="746">
        <f>SUMIF('数据-汇总表'!$C19:$C33,D1,'数据-汇总表'!$E19:$E33)</f>
        <v>0</v>
      </c>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638</v>
      </c>
      <c r="B4" s="749"/>
      <c r="C4" s="3636" t="s">
        <v>639</v>
      </c>
      <c r="D4" s="3637"/>
      <c r="E4" s="3638" t="s">
        <v>640</v>
      </c>
      <c r="F4" s="3639"/>
      <c r="G4" s="3636" t="s">
        <v>641</v>
      </c>
      <c r="H4" s="3637"/>
      <c r="I4" s="3636" t="s">
        <v>642</v>
      </c>
      <c r="J4" s="3637"/>
      <c r="K4" s="957" t="s">
        <v>643</v>
      </c>
      <c r="L4" s="2375"/>
      <c r="M4" s="2376"/>
      <c r="N4" s="2376"/>
      <c r="O4" s="2376"/>
      <c r="P4" s="3640" t="s">
        <v>644</v>
      </c>
      <c r="Q4" s="3641"/>
      <c r="R4" s="3625" t="s">
        <v>640</v>
      </c>
      <c r="S4" s="3626"/>
      <c r="T4" s="3625" t="s">
        <v>641</v>
      </c>
      <c r="U4" s="3626"/>
      <c r="V4" s="3648" t="s">
        <v>642</v>
      </c>
      <c r="W4" s="3648"/>
      <c r="X4" s="1322"/>
      <c r="Y4" s="3625" t="s">
        <v>644</v>
      </c>
      <c r="Z4" s="3626"/>
      <c r="AA4" s="3620" t="s">
        <v>640</v>
      </c>
      <c r="AB4" s="3621" t="s">
        <v>641</v>
      </c>
      <c r="AC4" s="3620" t="s">
        <v>642</v>
      </c>
    </row>
    <row r="5" spans="1:29" ht="15">
      <c r="A5" s="751"/>
      <c r="B5" s="752"/>
      <c r="C5" s="3631" t="s">
        <v>1444</v>
      </c>
      <c r="D5" s="3632"/>
      <c r="E5" s="3629" t="s">
        <v>1445</v>
      </c>
      <c r="F5" s="3630"/>
      <c r="G5" s="3631" t="s">
        <v>66</v>
      </c>
      <c r="H5" s="3632"/>
      <c r="I5" s="3631" t="s">
        <v>1446</v>
      </c>
      <c r="J5" s="3632"/>
      <c r="K5" s="957"/>
      <c r="L5" s="2375"/>
      <c r="M5" s="2376"/>
      <c r="N5" s="2376"/>
      <c r="O5" s="2376"/>
      <c r="P5" s="3642"/>
      <c r="Q5" s="3643"/>
      <c r="R5" s="3627"/>
      <c r="S5" s="3628"/>
      <c r="T5" s="3627"/>
      <c r="U5" s="3628"/>
      <c r="V5" s="3648"/>
      <c r="W5" s="3648"/>
      <c r="X5" s="1322"/>
      <c r="Y5" s="3627"/>
      <c r="Z5" s="3628"/>
      <c r="AA5" s="3621"/>
      <c r="AB5" s="3621"/>
      <c r="AC5" s="3621"/>
    </row>
    <row r="6" spans="1:29" ht="15.75" thickBot="1">
      <c r="A6" s="753"/>
      <c r="B6" s="754"/>
      <c r="C6" s="3633" t="s">
        <v>1447</v>
      </c>
      <c r="D6" s="3634"/>
      <c r="E6" s="3677" t="s">
        <v>1447</v>
      </c>
      <c r="F6" s="3678"/>
      <c r="G6" s="3633" t="s">
        <v>1447</v>
      </c>
      <c r="H6" s="3634"/>
      <c r="I6" s="3633" t="s">
        <v>1447</v>
      </c>
      <c r="J6" s="3634"/>
      <c r="K6" s="957" t="s">
        <v>567</v>
      </c>
      <c r="L6" s="2375"/>
      <c r="M6" s="2376"/>
      <c r="N6" s="2376"/>
      <c r="O6" s="2376"/>
      <c r="P6" s="3644"/>
      <c r="Q6" s="3645"/>
      <c r="R6" s="3627"/>
      <c r="S6" s="3628"/>
      <c r="T6" s="3646"/>
      <c r="U6" s="3647"/>
      <c r="V6" s="3648"/>
      <c r="W6" s="3648"/>
      <c r="X6" s="1322"/>
      <c r="Y6" s="3646"/>
      <c r="Z6" s="3647"/>
      <c r="AA6" s="3622"/>
      <c r="AB6" s="3622"/>
      <c r="AC6" s="3622"/>
    </row>
    <row r="7" spans="1:29" s="412" customFormat="1" ht="15.75" thickBot="1">
      <c r="A7" s="755" t="s">
        <v>568</v>
      </c>
      <c r="B7" s="756"/>
      <c r="C7" s="757">
        <f>'数据-取费表'!B2</f>
        <v>42959</v>
      </c>
      <c r="D7" s="758">
        <v>100</v>
      </c>
      <c r="E7" s="1021">
        <v>42007</v>
      </c>
      <c r="F7" s="760">
        <f>SUMIF(46:46,YEAR(E7)&amp;"-"&amp;MONTH(E7),47:47)</f>
        <v>0</v>
      </c>
      <c r="G7" s="1022">
        <v>41918</v>
      </c>
      <c r="H7" s="758">
        <f>SUMIF(46:46,YEAR(G7)&amp;"-"&amp;MONTH(G7),47:47)</f>
        <v>0</v>
      </c>
      <c r="I7" s="1022">
        <v>42003</v>
      </c>
      <c r="J7" s="758">
        <f>SUMIF(46:46,YEAR(I7)&amp;"-"&amp;MONTH(I7),47:47)</f>
        <v>0</v>
      </c>
      <c r="K7" s="958"/>
      <c r="L7" s="2377"/>
      <c r="M7" s="2378"/>
      <c r="N7" s="2378"/>
      <c r="O7" s="2378"/>
      <c r="P7" s="3623" t="s">
        <v>569</v>
      </c>
      <c r="Q7" s="3649"/>
      <c r="R7" s="1323" t="s">
        <v>70</v>
      </c>
      <c r="S7" s="1324">
        <f t="shared" ref="S7:S14" si="0">F7</f>
        <v>0</v>
      </c>
      <c r="T7" s="1323" t="s">
        <v>70</v>
      </c>
      <c r="U7" s="1324">
        <f t="shared" ref="U7:U14" si="1">H7</f>
        <v>0</v>
      </c>
      <c r="V7" s="1323" t="s">
        <v>70</v>
      </c>
      <c r="W7" s="1324">
        <f t="shared" ref="W7:W14" si="2">J7</f>
        <v>0</v>
      </c>
      <c r="X7" s="1325"/>
      <c r="Y7" s="3623" t="s">
        <v>569</v>
      </c>
      <c r="Z7" s="3624"/>
      <c r="AA7" s="1326" t="e">
        <f>D7/F7</f>
        <v>#DIV/0!</v>
      </c>
      <c r="AB7" s="1326" t="e">
        <f>D7/H7</f>
        <v>#DIV/0!</v>
      </c>
      <c r="AC7" s="1326" t="e">
        <f>D7/J7</f>
        <v>#DIV/0!</v>
      </c>
    </row>
    <row r="8" spans="1:29" s="412" customFormat="1" ht="15.75" thickBot="1">
      <c r="A8" s="755" t="s">
        <v>570</v>
      </c>
      <c r="B8" s="756"/>
      <c r="C8" s="762" t="s">
        <v>591</v>
      </c>
      <c r="D8" s="758">
        <v>100</v>
      </c>
      <c r="E8" s="762" t="s">
        <v>611</v>
      </c>
      <c r="F8" s="760">
        <f>SUMIF(49:49,E8,50:50)-SUMIF(49:49,C8,50:50)+100</f>
        <v>95</v>
      </c>
      <c r="G8" s="762" t="s">
        <v>591</v>
      </c>
      <c r="H8" s="758">
        <f>SUMIF(49:49,G8,50:50)-SUMIF(49:49,C8,50:50)+100</f>
        <v>100</v>
      </c>
      <c r="I8" s="762" t="s">
        <v>591</v>
      </c>
      <c r="J8" s="758">
        <f>SUMIF(49:49,I8,50:50)-SUMIF(49:49,C8,50:50)+100</f>
        <v>100</v>
      </c>
      <c r="K8" s="958"/>
      <c r="L8" s="2377"/>
      <c r="M8" s="2378"/>
      <c r="N8" s="2378"/>
      <c r="O8" s="2378"/>
      <c r="P8" s="3623" t="s">
        <v>612</v>
      </c>
      <c r="Q8" s="3624"/>
      <c r="R8" s="1323" t="s">
        <v>70</v>
      </c>
      <c r="S8" s="1324">
        <f t="shared" si="0"/>
        <v>95</v>
      </c>
      <c r="T8" s="1323" t="s">
        <v>70</v>
      </c>
      <c r="U8" s="1324">
        <f t="shared" si="1"/>
        <v>100</v>
      </c>
      <c r="V8" s="1323" t="s">
        <v>70</v>
      </c>
      <c r="W8" s="1324">
        <f t="shared" si="2"/>
        <v>100</v>
      </c>
      <c r="X8" s="1325"/>
      <c r="Y8" s="3623" t="s">
        <v>612</v>
      </c>
      <c r="Z8" s="3624"/>
      <c r="AA8" s="1326">
        <f t="shared" ref="AA8:AA34" si="3">D8/F8</f>
        <v>1.0526315789473684</v>
      </c>
      <c r="AB8" s="1326">
        <f t="shared" ref="AB8:AB34" si="4">D8/H8</f>
        <v>1</v>
      </c>
      <c r="AC8" s="1326">
        <f t="shared" ref="AC8:AC34" si="5">D8/J8</f>
        <v>1</v>
      </c>
    </row>
    <row r="9" spans="1:29" s="412" customFormat="1">
      <c r="A9" s="763" t="s">
        <v>571</v>
      </c>
      <c r="B9" s="367" t="s">
        <v>594</v>
      </c>
      <c r="C9" s="1350" t="s">
        <v>1448</v>
      </c>
      <c r="D9" s="429">
        <v>100</v>
      </c>
      <c r="E9" s="767" t="s">
        <v>689</v>
      </c>
      <c r="F9" s="429">
        <f>SUMIF(51:51,E9,52:52)-SUMIF(51:51,C9,52:52)+100</f>
        <v>100</v>
      </c>
      <c r="G9" s="767" t="s">
        <v>689</v>
      </c>
      <c r="H9" s="429">
        <f>SUMIF(51:51,G9,52:52)-SUMIF(51:51,C9,52:52)+100</f>
        <v>100</v>
      </c>
      <c r="I9" s="767" t="s">
        <v>689</v>
      </c>
      <c r="J9" s="429">
        <f>SUMIF(51:51,I9,52:52)-SUMIF(51:51,C9,52:52)+100</f>
        <v>100</v>
      </c>
      <c r="K9" s="958"/>
      <c r="L9" s="2377"/>
      <c r="M9" s="2378"/>
      <c r="N9" s="2378"/>
      <c r="O9" s="2379"/>
      <c r="P9" s="3635" t="s">
        <v>572</v>
      </c>
      <c r="Q9" s="302" t="str">
        <f t="shared" ref="Q9:Q14" si="6">B9</f>
        <v>用途</v>
      </c>
      <c r="R9" s="1323" t="s">
        <v>70</v>
      </c>
      <c r="S9" s="1324">
        <f t="shared" si="0"/>
        <v>100</v>
      </c>
      <c r="T9" s="1323" t="s">
        <v>70</v>
      </c>
      <c r="U9" s="1324">
        <f t="shared" si="1"/>
        <v>100</v>
      </c>
      <c r="V9" s="1323" t="s">
        <v>70</v>
      </c>
      <c r="W9" s="1324">
        <f t="shared" si="2"/>
        <v>100</v>
      </c>
      <c r="X9" s="1325"/>
      <c r="Y9" s="3590" t="s">
        <v>573</v>
      </c>
      <c r="Z9" s="350" t="str">
        <f t="shared" ref="Z9:Z14" si="7">Q9</f>
        <v>用途</v>
      </c>
      <c r="AA9" s="1326">
        <f t="shared" si="3"/>
        <v>1</v>
      </c>
      <c r="AB9" s="1326">
        <f t="shared" si="4"/>
        <v>1</v>
      </c>
      <c r="AC9" s="1326">
        <f t="shared" si="5"/>
        <v>1</v>
      </c>
    </row>
    <row r="10" spans="1:29" s="775" customFormat="1" ht="27">
      <c r="A10" s="769"/>
      <c r="B10" s="770" t="s">
        <v>574</v>
      </c>
      <c r="C10" s="771" t="s">
        <v>625</v>
      </c>
      <c r="D10" s="430">
        <v>100</v>
      </c>
      <c r="E10" s="771" t="s">
        <v>613</v>
      </c>
      <c r="F10" s="430">
        <f>SUMIF(53:53,E10,54:54)-SUMIF(53:53,C10,54:54)+100</f>
        <v>97</v>
      </c>
      <c r="G10" s="772" t="s">
        <v>614</v>
      </c>
      <c r="H10" s="430">
        <f>SUMIF(53:53,G10,54:54)-SUMIF(53:53,C10,54:54)+100</f>
        <v>94</v>
      </c>
      <c r="I10" s="771" t="s">
        <v>615</v>
      </c>
      <c r="J10" s="430">
        <f>SUMIF(53:53,I10,54:54)-SUMIF(53:53,C10,54:54)+100</f>
        <v>91</v>
      </c>
      <c r="K10" s="959">
        <v>3</v>
      </c>
      <c r="L10" s="2380"/>
      <c r="M10" s="2381"/>
      <c r="N10" s="2381"/>
      <c r="O10" s="2382"/>
      <c r="P10" s="3635"/>
      <c r="Q10" s="302" t="str">
        <f t="shared" si="6"/>
        <v>土地使用年限（年）</v>
      </c>
      <c r="R10" s="1323" t="s">
        <v>70</v>
      </c>
      <c r="S10" s="1324">
        <f t="shared" si="0"/>
        <v>97</v>
      </c>
      <c r="T10" s="1323" t="s">
        <v>70</v>
      </c>
      <c r="U10" s="1324">
        <f t="shared" si="1"/>
        <v>94</v>
      </c>
      <c r="V10" s="1323" t="s">
        <v>70</v>
      </c>
      <c r="W10" s="1324">
        <f t="shared" si="2"/>
        <v>91</v>
      </c>
      <c r="X10" s="1325"/>
      <c r="Y10" s="3590"/>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3"/>
      <c r="M11" s="2376"/>
      <c r="N11" s="2376"/>
      <c r="O11" s="2384"/>
      <c r="P11" s="3635"/>
      <c r="Q11" s="302">
        <f t="shared" si="6"/>
        <v>111</v>
      </c>
      <c r="R11" s="1323" t="s">
        <v>70</v>
      </c>
      <c r="S11" s="1324">
        <f t="shared" si="0"/>
        <v>99</v>
      </c>
      <c r="T11" s="1323" t="s">
        <v>70</v>
      </c>
      <c r="U11" s="1324">
        <f t="shared" si="1"/>
        <v>98</v>
      </c>
      <c r="V11" s="1323" t="s">
        <v>70</v>
      </c>
      <c r="W11" s="1324">
        <f t="shared" si="2"/>
        <v>97</v>
      </c>
      <c r="X11" s="1325"/>
      <c r="Y11" s="3590"/>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7"/>
      <c r="M12" s="2378"/>
      <c r="N12" s="2378"/>
      <c r="O12" s="2379"/>
      <c r="P12" s="3635"/>
      <c r="Q12" s="302">
        <f t="shared" si="6"/>
        <v>111</v>
      </c>
      <c r="R12" s="1323" t="s">
        <v>70</v>
      </c>
      <c r="S12" s="1324">
        <f t="shared" si="0"/>
        <v>98</v>
      </c>
      <c r="T12" s="1323" t="s">
        <v>70</v>
      </c>
      <c r="U12" s="1324">
        <f t="shared" si="1"/>
        <v>96</v>
      </c>
      <c r="V12" s="1323" t="s">
        <v>70</v>
      </c>
      <c r="W12" s="1324">
        <f t="shared" si="2"/>
        <v>94</v>
      </c>
      <c r="X12" s="1325"/>
      <c r="Y12" s="3590"/>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5"/>
      <c r="M13" s="2376"/>
      <c r="N13" s="2376"/>
      <c r="O13" s="2384"/>
      <c r="P13" s="3635"/>
      <c r="Q13" s="302">
        <f t="shared" si="6"/>
        <v>111</v>
      </c>
      <c r="R13" s="1323" t="s">
        <v>70</v>
      </c>
      <c r="S13" s="1324">
        <f t="shared" si="0"/>
        <v>97</v>
      </c>
      <c r="T13" s="1323" t="s">
        <v>70</v>
      </c>
      <c r="U13" s="1324">
        <f t="shared" si="1"/>
        <v>94</v>
      </c>
      <c r="V13" s="1323" t="s">
        <v>70</v>
      </c>
      <c r="W13" s="1324">
        <f t="shared" si="2"/>
        <v>91</v>
      </c>
      <c r="X13" s="1325"/>
      <c r="Y13" s="3590"/>
      <c r="Z13" s="350">
        <f t="shared" si="7"/>
        <v>111</v>
      </c>
      <c r="AA13" s="1326">
        <f t="shared" si="3"/>
        <v>1.0309278350515463</v>
      </c>
      <c r="AB13" s="1326">
        <f t="shared" si="4"/>
        <v>1.0638297872340425</v>
      </c>
      <c r="AC13" s="1326">
        <f t="shared" si="5"/>
        <v>1.098901098901099</v>
      </c>
    </row>
    <row r="14" spans="1:29" ht="94.5">
      <c r="A14" s="788" t="s">
        <v>576</v>
      </c>
      <c r="B14" s="365" t="s">
        <v>647</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5"/>
      <c r="M14" s="2376"/>
      <c r="N14" s="2376"/>
      <c r="O14" s="2384"/>
      <c r="P14" s="3650" t="s">
        <v>577</v>
      </c>
      <c r="Q14" s="1327" t="str">
        <f t="shared" si="6"/>
        <v>交通便捷度</v>
      </c>
      <c r="R14" s="1328" t="s">
        <v>70</v>
      </c>
      <c r="S14" s="1329">
        <f t="shared" si="0"/>
        <v>102</v>
      </c>
      <c r="T14" s="1328" t="s">
        <v>70</v>
      </c>
      <c r="U14" s="1329">
        <f t="shared" si="1"/>
        <v>98</v>
      </c>
      <c r="V14" s="1328" t="s">
        <v>70</v>
      </c>
      <c r="W14" s="1329">
        <f t="shared" si="2"/>
        <v>96</v>
      </c>
      <c r="X14" s="1322"/>
      <c r="Y14" s="3650" t="s">
        <v>577</v>
      </c>
      <c r="Z14" s="1330" t="str">
        <f t="shared" si="7"/>
        <v>交通便捷度</v>
      </c>
      <c r="AA14" s="1331">
        <f t="shared" si="3"/>
        <v>0.98039215686274506</v>
      </c>
      <c r="AB14" s="1331">
        <f t="shared" si="4"/>
        <v>1.0204081632653061</v>
      </c>
      <c r="AC14" s="1331">
        <f t="shared" si="5"/>
        <v>1.0416666666666667</v>
      </c>
    </row>
    <row r="15" spans="1:29" ht="15">
      <c r="A15" s="776"/>
      <c r="B15" s="794"/>
      <c r="C15" s="97" t="s">
        <v>2799</v>
      </c>
      <c r="D15" s="796"/>
      <c r="E15" s="795" t="s">
        <v>579</v>
      </c>
      <c r="F15" s="797"/>
      <c r="G15" s="795" t="s">
        <v>617</v>
      </c>
      <c r="H15" s="798"/>
      <c r="I15" s="795" t="s">
        <v>618</v>
      </c>
      <c r="J15" s="796"/>
      <c r="K15" s="962"/>
      <c r="L15" s="2385"/>
      <c r="M15" s="2376"/>
      <c r="N15" s="2376"/>
      <c r="O15" s="2384"/>
      <c r="P15" s="3651"/>
      <c r="Q15" s="1327"/>
      <c r="R15" s="1328"/>
      <c r="S15" s="1329"/>
      <c r="T15" s="1328"/>
      <c r="U15" s="1329"/>
      <c r="V15" s="1328"/>
      <c r="W15" s="1329"/>
      <c r="X15" s="1322"/>
      <c r="Y15" s="3651"/>
      <c r="Z15" s="1330"/>
      <c r="AA15" s="1331">
        <v>1</v>
      </c>
      <c r="AB15" s="1331">
        <v>1</v>
      </c>
      <c r="AC15" s="1331">
        <v>1</v>
      </c>
    </row>
    <row r="16" spans="1:29" ht="40.5">
      <c r="A16" s="776"/>
      <c r="B16" s="1360" t="s">
        <v>3066</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5"/>
      <c r="M16" s="2376"/>
      <c r="N16" s="2376"/>
      <c r="O16" s="2384"/>
      <c r="P16" s="3651"/>
      <c r="Q16" s="1327" t="str">
        <f>B16</f>
        <v>公共配套设施</v>
      </c>
      <c r="R16" s="1328" t="s">
        <v>70</v>
      </c>
      <c r="S16" s="1329">
        <f>F16</f>
        <v>98</v>
      </c>
      <c r="T16" s="1328" t="s">
        <v>70</v>
      </c>
      <c r="U16" s="1329">
        <f>H16</f>
        <v>96</v>
      </c>
      <c r="V16" s="1328" t="s">
        <v>70</v>
      </c>
      <c r="W16" s="1329">
        <f>J16</f>
        <v>102</v>
      </c>
      <c r="X16" s="1322"/>
      <c r="Y16" s="3651"/>
      <c r="Z16" s="1330" t="str">
        <f>Q16</f>
        <v>公共配套设施</v>
      </c>
      <c r="AA16" s="1331">
        <f t="shared" si="3"/>
        <v>1.0204081632653061</v>
      </c>
      <c r="AB16" s="1331">
        <f t="shared" si="4"/>
        <v>1.0416666666666667</v>
      </c>
      <c r="AC16" s="1331">
        <f t="shared" si="5"/>
        <v>0.98039215686274506</v>
      </c>
    </row>
    <row r="17" spans="1:29" ht="15">
      <c r="A17" s="776"/>
      <c r="B17" s="804"/>
      <c r="C17" s="102" t="s">
        <v>2800</v>
      </c>
      <c r="D17" s="796"/>
      <c r="E17" s="795" t="s">
        <v>578</v>
      </c>
      <c r="F17" s="797"/>
      <c r="G17" s="795" t="s">
        <v>617</v>
      </c>
      <c r="H17" s="796"/>
      <c r="I17" s="795" t="s">
        <v>580</v>
      </c>
      <c r="J17" s="796"/>
      <c r="K17" s="962"/>
      <c r="L17" s="2385"/>
      <c r="M17" s="2376"/>
      <c r="N17" s="2376"/>
      <c r="O17" s="2384"/>
      <c r="P17" s="3651"/>
      <c r="Q17" s="1327"/>
      <c r="R17" s="1328"/>
      <c r="S17" s="1329"/>
      <c r="T17" s="1328"/>
      <c r="U17" s="1329"/>
      <c r="V17" s="1328"/>
      <c r="W17" s="1329"/>
      <c r="X17" s="1322"/>
      <c r="Y17" s="3651"/>
      <c r="Z17" s="1330"/>
      <c r="AA17" s="1331">
        <v>1</v>
      </c>
      <c r="AB17" s="1331">
        <v>1</v>
      </c>
      <c r="AC17" s="1331">
        <v>1</v>
      </c>
    </row>
    <row r="18" spans="1:29" ht="40.5">
      <c r="A18" s="776"/>
      <c r="B18" s="1416" t="s">
        <v>3068</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5"/>
      <c r="M18" s="2376"/>
      <c r="N18" s="2376"/>
      <c r="O18" s="2384"/>
      <c r="P18" s="3651"/>
      <c r="Q18" s="2785" t="str">
        <f>B18</f>
        <v>基础设施水平</v>
      </c>
      <c r="R18" s="1328" t="s">
        <v>70</v>
      </c>
      <c r="S18" s="1329">
        <f>F18</f>
        <v>98.5</v>
      </c>
      <c r="T18" s="1328" t="s">
        <v>70</v>
      </c>
      <c r="U18" s="1329">
        <f>H18</f>
        <v>97</v>
      </c>
      <c r="V18" s="1328" t="s">
        <v>70</v>
      </c>
      <c r="W18" s="1329">
        <f>J18</f>
        <v>95.5</v>
      </c>
      <c r="X18" s="2787"/>
      <c r="Y18" s="3651"/>
      <c r="Z18" s="2786" t="str">
        <f>Q18</f>
        <v>基础设施水平</v>
      </c>
      <c r="AA18" s="1331">
        <f t="shared" ref="AA18" si="8">D18/F18</f>
        <v>1.015228426395939</v>
      </c>
      <c r="AB18" s="1331">
        <f t="shared" ref="AB18" si="9">D18/H18</f>
        <v>1.0309278350515463</v>
      </c>
      <c r="AC18" s="1331">
        <f t="shared" ref="AC18" si="10">D18/J18</f>
        <v>1.0471204188481675</v>
      </c>
    </row>
    <row r="19" spans="1:29" ht="15">
      <c r="A19" s="776"/>
      <c r="B19" s="2805"/>
      <c r="C19" s="102" t="s">
        <v>56</v>
      </c>
      <c r="D19" s="798"/>
      <c r="E19" s="102" t="s">
        <v>161</v>
      </c>
      <c r="F19" s="801"/>
      <c r="G19" s="102" t="s">
        <v>162</v>
      </c>
      <c r="H19" s="796"/>
      <c r="I19" s="97" t="s">
        <v>257</v>
      </c>
      <c r="J19" s="796"/>
      <c r="K19" s="2803"/>
      <c r="L19" s="2385"/>
      <c r="M19" s="2376"/>
      <c r="N19" s="2376"/>
      <c r="O19" s="2384"/>
      <c r="P19" s="3651"/>
      <c r="Q19" s="2785"/>
      <c r="R19" s="1328"/>
      <c r="S19" s="1329"/>
      <c r="T19" s="1328"/>
      <c r="U19" s="1329"/>
      <c r="V19" s="1328"/>
      <c r="W19" s="1329"/>
      <c r="X19" s="2787"/>
      <c r="Y19" s="3651"/>
      <c r="Z19" s="2786"/>
      <c r="AA19" s="1331">
        <v>1</v>
      </c>
      <c r="AB19" s="1331">
        <v>1</v>
      </c>
      <c r="AC19" s="1331">
        <v>1</v>
      </c>
    </row>
    <row r="20" spans="1:29" ht="54">
      <c r="A20" s="776"/>
      <c r="B20" s="799" t="s">
        <v>648</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5"/>
      <c r="M20" s="2376"/>
      <c r="N20" s="2376"/>
      <c r="O20" s="2384"/>
      <c r="P20" s="3651"/>
      <c r="Q20" s="1327" t="str">
        <f>B20</f>
        <v>自然及人文环境</v>
      </c>
      <c r="R20" s="1328" t="s">
        <v>70</v>
      </c>
      <c r="S20" s="1329">
        <f>F20</f>
        <v>97</v>
      </c>
      <c r="T20" s="1328" t="s">
        <v>70</v>
      </c>
      <c r="U20" s="1329">
        <f>H20</f>
        <v>103</v>
      </c>
      <c r="V20" s="1328" t="s">
        <v>70</v>
      </c>
      <c r="W20" s="1329">
        <f>J20</f>
        <v>106</v>
      </c>
      <c r="X20" s="1322"/>
      <c r="Y20" s="3651"/>
      <c r="Z20" s="1330" t="str">
        <f>Q20</f>
        <v>自然及人文环境</v>
      </c>
      <c r="AA20" s="1331">
        <f t="shared" si="3"/>
        <v>1.0309278350515463</v>
      </c>
      <c r="AB20" s="1331">
        <f t="shared" si="4"/>
        <v>0.970873786407767</v>
      </c>
      <c r="AC20" s="1331">
        <f t="shared" si="5"/>
        <v>0.94339622641509435</v>
      </c>
    </row>
    <row r="21" spans="1:29" ht="15">
      <c r="A21" s="776"/>
      <c r="B21" s="804"/>
      <c r="C21" s="795" t="s">
        <v>578</v>
      </c>
      <c r="D21" s="796"/>
      <c r="E21" s="795" t="s">
        <v>617</v>
      </c>
      <c r="F21" s="797"/>
      <c r="G21" s="795" t="s">
        <v>579</v>
      </c>
      <c r="H21" s="796"/>
      <c r="I21" s="795" t="s">
        <v>580</v>
      </c>
      <c r="J21" s="796"/>
      <c r="K21" s="962"/>
      <c r="L21" s="2385"/>
      <c r="M21" s="2376"/>
      <c r="N21" s="2376"/>
      <c r="O21" s="2384"/>
      <c r="P21" s="3651"/>
      <c r="Q21" s="1327"/>
      <c r="R21" s="1328"/>
      <c r="S21" s="1329"/>
      <c r="T21" s="1328"/>
      <c r="U21" s="1329"/>
      <c r="V21" s="1328"/>
      <c r="W21" s="1329"/>
      <c r="X21" s="1322"/>
      <c r="Y21" s="3651"/>
      <c r="Z21" s="1330"/>
      <c r="AA21" s="1331">
        <v>1</v>
      </c>
      <c r="AB21" s="1331">
        <v>1</v>
      </c>
      <c r="AC21" s="1331">
        <v>1</v>
      </c>
    </row>
    <row r="22" spans="1:29" ht="15">
      <c r="A22" s="776"/>
      <c r="B22" s="799" t="s">
        <v>649</v>
      </c>
      <c r="C22" s="963" t="s">
        <v>620</v>
      </c>
      <c r="D22" s="798">
        <v>100</v>
      </c>
      <c r="E22" s="963" t="s">
        <v>650</v>
      </c>
      <c r="F22" s="809">
        <f>SUMIF(69:69,E22,70:70)-SUMIF(69:69,C22,70:70)+100</f>
        <v>98</v>
      </c>
      <c r="G22" s="963" t="s">
        <v>650</v>
      </c>
      <c r="H22" s="783">
        <f>SUMIF(69:69,G22,70:70)-SUMIF(69:69,C22,70:70)+100</f>
        <v>98</v>
      </c>
      <c r="I22" s="963" t="s">
        <v>620</v>
      </c>
      <c r="J22" s="783">
        <f>SUMIF(69:69,I22,70:70)-SUMIF(69:69,C22,70:70)+100</f>
        <v>100</v>
      </c>
      <c r="K22" s="959">
        <v>2</v>
      </c>
      <c r="L22" s="2385"/>
      <c r="M22" s="2376"/>
      <c r="N22" s="2376"/>
      <c r="O22" s="2384"/>
      <c r="P22" s="3651"/>
      <c r="Q22" s="1327" t="str">
        <f>B22</f>
        <v>楼层</v>
      </c>
      <c r="R22" s="1328" t="s">
        <v>70</v>
      </c>
      <c r="S22" s="1329">
        <f>F22</f>
        <v>98</v>
      </c>
      <c r="T22" s="1328" t="s">
        <v>70</v>
      </c>
      <c r="U22" s="1329">
        <f>H22</f>
        <v>98</v>
      </c>
      <c r="V22" s="1328" t="s">
        <v>70</v>
      </c>
      <c r="W22" s="1329">
        <f>J22</f>
        <v>100</v>
      </c>
      <c r="X22" s="1322"/>
      <c r="Y22" s="3651"/>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5"/>
      <c r="M23" s="2376"/>
      <c r="N23" s="2376"/>
      <c r="O23" s="2384"/>
      <c r="P23" s="3651"/>
      <c r="Q23" s="1327">
        <f>B23</f>
        <v>111</v>
      </c>
      <c r="R23" s="1328" t="s">
        <v>70</v>
      </c>
      <c r="S23" s="1329">
        <f>F23</f>
        <v>99</v>
      </c>
      <c r="T23" s="1328" t="s">
        <v>70</v>
      </c>
      <c r="U23" s="1329">
        <f>H23</f>
        <v>98</v>
      </c>
      <c r="V23" s="1328" t="s">
        <v>70</v>
      </c>
      <c r="W23" s="1329">
        <f>J23</f>
        <v>97</v>
      </c>
      <c r="X23" s="1322"/>
      <c r="Y23" s="3651"/>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5"/>
      <c r="M24" s="2376"/>
      <c r="N24" s="2376"/>
      <c r="O24" s="2384"/>
      <c r="P24" s="3651"/>
      <c r="Q24" s="1327">
        <f t="shared" ref="Q24:Q34" si="11">B24</f>
        <v>111</v>
      </c>
      <c r="R24" s="1328" t="s">
        <v>70</v>
      </c>
      <c r="S24" s="1329">
        <f>F24</f>
        <v>98</v>
      </c>
      <c r="T24" s="1328" t="s">
        <v>70</v>
      </c>
      <c r="U24" s="1329">
        <f>H24</f>
        <v>96</v>
      </c>
      <c r="V24" s="1328" t="s">
        <v>70</v>
      </c>
      <c r="W24" s="1329">
        <f>J24</f>
        <v>94</v>
      </c>
      <c r="X24" s="1322"/>
      <c r="Y24" s="3651"/>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7"/>
      <c r="M25" s="2378"/>
      <c r="N25" s="2378"/>
      <c r="O25" s="2379"/>
      <c r="P25" s="3651"/>
      <c r="Q25" s="302">
        <f t="shared" si="11"/>
        <v>111</v>
      </c>
      <c r="R25" s="1323" t="s">
        <v>70</v>
      </c>
      <c r="S25" s="1324">
        <f>F25</f>
        <v>97</v>
      </c>
      <c r="T25" s="1323" t="s">
        <v>70</v>
      </c>
      <c r="U25" s="1324">
        <f>H25</f>
        <v>94</v>
      </c>
      <c r="V25" s="1323" t="s">
        <v>70</v>
      </c>
      <c r="W25" s="1324">
        <f>J25</f>
        <v>91</v>
      </c>
      <c r="X25" s="1325"/>
      <c r="Y25" s="3651"/>
      <c r="Z25" s="350">
        <f>Q25</f>
        <v>111</v>
      </c>
      <c r="AA25" s="1331">
        <f>D25/F25</f>
        <v>1.0309278350515463</v>
      </c>
      <c r="AB25" s="1331">
        <f>D25/H25</f>
        <v>1.0638297872340425</v>
      </c>
      <c r="AC25" s="1331">
        <f>D25/J25</f>
        <v>1.098901098901099</v>
      </c>
    </row>
    <row r="26" spans="1:29" ht="15">
      <c r="A26" s="813" t="s">
        <v>581</v>
      </c>
      <c r="B26" s="367" t="s">
        <v>658</v>
      </c>
      <c r="C26" s="197" t="s">
        <v>132</v>
      </c>
      <c r="D26" s="814">
        <v>100</v>
      </c>
      <c r="E26" s="197" t="s">
        <v>306</v>
      </c>
      <c r="F26" s="1014">
        <f>SUMIF(77:77,E26,78:78)-SUMIF(77:77,C26,78:78)+100</f>
        <v>97</v>
      </c>
      <c r="G26" s="197" t="s">
        <v>132</v>
      </c>
      <c r="H26" s="814">
        <f>SUMIF(77:77,G26,78:78)-SUMIF(77:77,C26,78:78)+100</f>
        <v>100</v>
      </c>
      <c r="I26" s="197" t="s">
        <v>306</v>
      </c>
      <c r="J26" s="814">
        <f>SUMIF(77:77,I26,78:78)-SUMIF(77:77,C26,78:78)+100</f>
        <v>97</v>
      </c>
      <c r="K26" s="959">
        <v>3</v>
      </c>
      <c r="L26" s="2385"/>
      <c r="M26" s="2376"/>
      <c r="N26" s="2376"/>
      <c r="O26" s="2384"/>
      <c r="P26" s="3652" t="s">
        <v>690</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53" t="s">
        <v>690</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659</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3"/>
      <c r="M27" s="2386"/>
      <c r="N27" s="2386"/>
      <c r="O27" s="2387"/>
      <c r="P27" s="3653"/>
      <c r="Q27" s="1332" t="str">
        <f t="shared" si="11"/>
        <v>成新率</v>
      </c>
      <c r="R27" s="1333" t="s">
        <v>70</v>
      </c>
      <c r="S27" s="1334">
        <f t="shared" si="12"/>
        <v>102</v>
      </c>
      <c r="T27" s="1333" t="s">
        <v>70</v>
      </c>
      <c r="U27" s="1334">
        <f t="shared" si="13"/>
        <v>102</v>
      </c>
      <c r="V27" s="1333" t="s">
        <v>70</v>
      </c>
      <c r="W27" s="1334">
        <f t="shared" si="14"/>
        <v>100</v>
      </c>
      <c r="X27" s="1335"/>
      <c r="Y27" s="3653"/>
      <c r="Z27" s="1336" t="str">
        <f t="shared" si="15"/>
        <v>成新率</v>
      </c>
      <c r="AA27" s="1331">
        <f t="shared" si="3"/>
        <v>0.98039215686274506</v>
      </c>
      <c r="AB27" s="1331">
        <f t="shared" si="4"/>
        <v>0.98039215686274506</v>
      </c>
      <c r="AC27" s="1331">
        <f t="shared" si="5"/>
        <v>1</v>
      </c>
    </row>
    <row r="28" spans="1:29" ht="15">
      <c r="A28" s="819"/>
      <c r="B28" s="770" t="s">
        <v>660</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5"/>
      <c r="M28" s="2376"/>
      <c r="N28" s="2376"/>
      <c r="O28" s="2384"/>
      <c r="P28" s="3653"/>
      <c r="Q28" s="1327" t="str">
        <f t="shared" si="11"/>
        <v>物业等级</v>
      </c>
      <c r="R28" s="1328" t="s">
        <v>70</v>
      </c>
      <c r="S28" s="1329">
        <f t="shared" si="12"/>
        <v>94</v>
      </c>
      <c r="T28" s="1328" t="s">
        <v>70</v>
      </c>
      <c r="U28" s="1329">
        <f t="shared" si="13"/>
        <v>97</v>
      </c>
      <c r="V28" s="1328" t="s">
        <v>70</v>
      </c>
      <c r="W28" s="1329">
        <f t="shared" si="14"/>
        <v>100</v>
      </c>
      <c r="X28" s="1322"/>
      <c r="Y28" s="3653"/>
      <c r="Z28" s="1330" t="str">
        <f t="shared" si="15"/>
        <v>物业等级</v>
      </c>
      <c r="AA28" s="1331">
        <f t="shared" si="3"/>
        <v>1.0638297872340425</v>
      </c>
      <c r="AB28" s="1331">
        <f t="shared" si="4"/>
        <v>1.0309278350515463</v>
      </c>
      <c r="AC28" s="1331">
        <f t="shared" si="5"/>
        <v>1</v>
      </c>
    </row>
    <row r="29" spans="1:29" ht="15">
      <c r="A29" s="819"/>
      <c r="B29" s="770" t="s">
        <v>691</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5"/>
      <c r="M29" s="2376"/>
      <c r="N29" s="2376"/>
      <c r="O29" s="2384"/>
      <c r="P29" s="3653"/>
      <c r="Q29" s="1327" t="str">
        <f t="shared" si="11"/>
        <v>有无电梯</v>
      </c>
      <c r="R29" s="1328" t="s">
        <v>70</v>
      </c>
      <c r="S29" s="1329">
        <f t="shared" si="12"/>
        <v>98</v>
      </c>
      <c r="T29" s="1328" t="s">
        <v>70</v>
      </c>
      <c r="U29" s="1329">
        <f t="shared" si="13"/>
        <v>100</v>
      </c>
      <c r="V29" s="1328" t="s">
        <v>70</v>
      </c>
      <c r="W29" s="1329">
        <f t="shared" si="14"/>
        <v>98</v>
      </c>
      <c r="X29" s="1322"/>
      <c r="Y29" s="3653"/>
      <c r="Z29" s="1330" t="str">
        <f t="shared" si="15"/>
        <v>有无电梯</v>
      </c>
      <c r="AA29" s="1331">
        <f t="shared" si="3"/>
        <v>1.0204081632653061</v>
      </c>
      <c r="AB29" s="1331">
        <f t="shared" si="4"/>
        <v>1</v>
      </c>
      <c r="AC29" s="1331">
        <f t="shared" si="5"/>
        <v>1.0204081632653061</v>
      </c>
    </row>
    <row r="30" spans="1:29" ht="15">
      <c r="A30" s="819"/>
      <c r="B30" s="770" t="s">
        <v>692</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5"/>
      <c r="M30" s="2376"/>
      <c r="N30" s="2376"/>
      <c r="O30" s="2384"/>
      <c r="P30" s="3653"/>
      <c r="Q30" s="1327" t="str">
        <f t="shared" si="11"/>
        <v>建筑面积</v>
      </c>
      <c r="R30" s="1328" t="s">
        <v>70</v>
      </c>
      <c r="S30" s="1329">
        <f t="shared" si="12"/>
        <v>96</v>
      </c>
      <c r="T30" s="1328" t="s">
        <v>70</v>
      </c>
      <c r="U30" s="1329">
        <f t="shared" si="13"/>
        <v>98</v>
      </c>
      <c r="V30" s="1328" t="s">
        <v>70</v>
      </c>
      <c r="W30" s="1329">
        <f t="shared" si="14"/>
        <v>102</v>
      </c>
      <c r="X30" s="1322"/>
      <c r="Y30" s="3653"/>
      <c r="Z30" s="1330" t="str">
        <f t="shared" si="15"/>
        <v>建筑面积</v>
      </c>
      <c r="AA30" s="1331">
        <f t="shared" si="3"/>
        <v>1.0416666666666667</v>
      </c>
      <c r="AB30" s="1331">
        <f t="shared" si="4"/>
        <v>1.0204081632653061</v>
      </c>
      <c r="AC30" s="1331">
        <f t="shared" si="5"/>
        <v>0.98039215686274506</v>
      </c>
    </row>
    <row r="31" spans="1:29" s="412" customFormat="1" ht="15">
      <c r="A31" s="820"/>
      <c r="B31" s="770" t="s">
        <v>693</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7"/>
      <c r="M31" s="2378"/>
      <c r="N31" s="2378"/>
      <c r="O31" s="2379"/>
      <c r="P31" s="3653"/>
      <c r="Q31" s="302" t="str">
        <f t="shared" si="11"/>
        <v>是否封闭</v>
      </c>
      <c r="R31" s="1323" t="s">
        <v>70</v>
      </c>
      <c r="S31" s="1324">
        <f t="shared" si="12"/>
        <v>102</v>
      </c>
      <c r="T31" s="1323" t="s">
        <v>70</v>
      </c>
      <c r="U31" s="1324">
        <f t="shared" si="13"/>
        <v>102</v>
      </c>
      <c r="V31" s="1323" t="s">
        <v>70</v>
      </c>
      <c r="W31" s="1324">
        <f t="shared" si="14"/>
        <v>100</v>
      </c>
      <c r="X31" s="1325"/>
      <c r="Y31" s="3653"/>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5"/>
      <c r="M32" s="2376"/>
      <c r="N32" s="2376"/>
      <c r="O32" s="2384"/>
      <c r="P32" s="3653" t="s">
        <v>582</v>
      </c>
      <c r="Q32" s="1327">
        <f t="shared" si="11"/>
        <v>111</v>
      </c>
      <c r="R32" s="1328" t="s">
        <v>70</v>
      </c>
      <c r="S32" s="1329">
        <f t="shared" si="12"/>
        <v>99</v>
      </c>
      <c r="T32" s="1328" t="s">
        <v>70</v>
      </c>
      <c r="U32" s="1329">
        <f t="shared" si="13"/>
        <v>98</v>
      </c>
      <c r="V32" s="1328" t="s">
        <v>70</v>
      </c>
      <c r="W32" s="1329">
        <f t="shared" si="14"/>
        <v>97</v>
      </c>
      <c r="X32" s="1322"/>
      <c r="Y32" s="3653" t="s">
        <v>582</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5"/>
      <c r="M33" s="2376"/>
      <c r="N33" s="2376"/>
      <c r="O33" s="2384"/>
      <c r="P33" s="3653"/>
      <c r="Q33" s="1327">
        <f t="shared" si="11"/>
        <v>111</v>
      </c>
      <c r="R33" s="1328" t="s">
        <v>70</v>
      </c>
      <c r="S33" s="1329">
        <f t="shared" si="12"/>
        <v>98</v>
      </c>
      <c r="T33" s="1328" t="s">
        <v>70</v>
      </c>
      <c r="U33" s="1329">
        <f t="shared" si="13"/>
        <v>96</v>
      </c>
      <c r="V33" s="1328" t="s">
        <v>70</v>
      </c>
      <c r="W33" s="1329">
        <f t="shared" si="14"/>
        <v>94</v>
      </c>
      <c r="X33" s="1322"/>
      <c r="Y33" s="3653"/>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5"/>
      <c r="M34" s="2376"/>
      <c r="N34" s="2376"/>
      <c r="O34" s="2384"/>
      <c r="P34" s="3653"/>
      <c r="Q34" s="1327">
        <f t="shared" si="11"/>
        <v>111</v>
      </c>
      <c r="R34" s="1328" t="s">
        <v>70</v>
      </c>
      <c r="S34" s="1329">
        <f t="shared" si="12"/>
        <v>97</v>
      </c>
      <c r="T34" s="1328" t="s">
        <v>70</v>
      </c>
      <c r="U34" s="1329">
        <f t="shared" si="13"/>
        <v>94</v>
      </c>
      <c r="V34" s="1328" t="s">
        <v>70</v>
      </c>
      <c r="W34" s="1329">
        <f t="shared" si="14"/>
        <v>91</v>
      </c>
      <c r="X34" s="1322"/>
      <c r="Y34" s="3653"/>
      <c r="Z34" s="1330">
        <f t="shared" si="15"/>
        <v>111</v>
      </c>
      <c r="AA34" s="1331">
        <f t="shared" si="3"/>
        <v>1.0309278350515463</v>
      </c>
      <c r="AB34" s="1331">
        <f t="shared" si="4"/>
        <v>1.0638297872340425</v>
      </c>
      <c r="AC34" s="1331">
        <f t="shared" si="5"/>
        <v>1.098901098901099</v>
      </c>
    </row>
    <row r="35" spans="1:29" ht="15">
      <c r="A35" s="826" t="s">
        <v>583</v>
      </c>
      <c r="B35" s="827"/>
      <c r="C35" s="2872" t="s">
        <v>23</v>
      </c>
      <c r="D35" s="2873"/>
      <c r="E35" s="2874">
        <v>30000</v>
      </c>
      <c r="F35" s="2875"/>
      <c r="G35" s="2876">
        <v>35000</v>
      </c>
      <c r="H35" s="2877"/>
      <c r="I35" s="2874">
        <v>32000</v>
      </c>
      <c r="J35" s="2877"/>
      <c r="K35" s="1404"/>
      <c r="L35" s="2388"/>
      <c r="M35" s="2389"/>
      <c r="N35" s="2376"/>
      <c r="O35" s="2389"/>
      <c r="P35" s="3635" t="str">
        <f>A35</f>
        <v>成交单价（元/平方米）</v>
      </c>
      <c r="Q35" s="3635"/>
      <c r="R35" s="3755">
        <f>E35</f>
        <v>30000</v>
      </c>
      <c r="S35" s="3755"/>
      <c r="T35" s="3755">
        <f>G35</f>
        <v>35000</v>
      </c>
      <c r="U35" s="3755"/>
      <c r="V35" s="3755">
        <f>I35</f>
        <v>32000</v>
      </c>
      <c r="W35" s="3755"/>
      <c r="X35" s="1311"/>
      <c r="Y35" s="1337"/>
      <c r="Z35" s="1311"/>
      <c r="AA35" s="1311"/>
      <c r="AB35" s="1311"/>
      <c r="AC35" s="1311"/>
    </row>
    <row r="36" spans="1:29" ht="15.75" thickBot="1">
      <c r="A36" s="833" t="s">
        <v>584</v>
      </c>
      <c r="B36" s="834"/>
      <c r="C36" s="2878" t="e">
        <f>R37</f>
        <v>#DIV/0!</v>
      </c>
      <c r="D36" s="2879"/>
      <c r="E36" s="2880" t="e">
        <f>R36</f>
        <v>#DIV/0!</v>
      </c>
      <c r="F36" s="2880"/>
      <c r="G36" s="2878" t="e">
        <f>T36</f>
        <v>#DIV/0!</v>
      </c>
      <c r="H36" s="2879"/>
      <c r="I36" s="2880" t="e">
        <f>V36</f>
        <v>#DIV/0!</v>
      </c>
      <c r="J36" s="2879"/>
      <c r="K36" s="1405"/>
      <c r="L36" s="2388"/>
      <c r="M36" s="2389"/>
      <c r="N36" s="2376"/>
      <c r="O36" s="2389"/>
      <c r="P36" s="3635" t="str">
        <f>A36</f>
        <v>比较价值（元/平方米）</v>
      </c>
      <c r="Q36" s="3635"/>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1311"/>
      <c r="Y36" s="1311"/>
      <c r="Z36" s="1311"/>
      <c r="AA36" s="1311"/>
      <c r="AB36" s="1311"/>
      <c r="AC36" s="1311"/>
    </row>
    <row r="37" spans="1:29" ht="15.75" thickBot="1">
      <c r="A37" s="115" t="s">
        <v>1449</v>
      </c>
      <c r="B37" s="840"/>
      <c r="C37" s="2882" t="e">
        <f>R37</f>
        <v>#DIV/0!</v>
      </c>
      <c r="D37" s="2882"/>
      <c r="E37" s="2882"/>
      <c r="F37" s="2882"/>
      <c r="G37" s="2882"/>
      <c r="H37" s="2882"/>
      <c r="I37" s="2882"/>
      <c r="J37" s="2882"/>
      <c r="K37" s="1406"/>
      <c r="L37" s="2388"/>
      <c r="M37" s="2389"/>
      <c r="N37" s="2389"/>
      <c r="O37" s="2389"/>
      <c r="P37" s="3655" t="str">
        <f>A37</f>
        <v>估价对象XX用房的比较价值（楼面单价，元/平方米）</v>
      </c>
      <c r="Q37" s="3656"/>
      <c r="R37" s="3756" t="e">
        <f>IF(F1="售价",ROUND(AVERAGE(R36:V36),0),ROUND(AVERAGE(R36:V36),1))</f>
        <v>#DIV/0!</v>
      </c>
      <c r="S37" s="3756"/>
      <c r="T37" s="3756"/>
      <c r="U37" s="3756"/>
      <c r="V37" s="3756"/>
      <c r="W37" s="3756"/>
      <c r="X37" s="1311"/>
      <c r="Y37" s="1311"/>
      <c r="Z37" s="1311"/>
      <c r="AA37" s="1311"/>
      <c r="AB37" s="1311"/>
      <c r="AC37" s="1311"/>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4" t="s">
        <v>586</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11"/>
      <c r="L40" s="2212"/>
      <c r="M40" s="2389"/>
      <c r="N40" s="2389"/>
      <c r="O40" s="2389"/>
    </row>
    <row r="41" spans="1:29" ht="13.5" customHeight="1">
      <c r="A41" s="2389"/>
      <c r="B41" s="2389"/>
      <c r="C41" s="844" t="s">
        <v>587</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11"/>
      <c r="L41" s="2212"/>
      <c r="M41" s="2389"/>
      <c r="N41" s="2389"/>
      <c r="O41" s="2389"/>
    </row>
    <row r="42" spans="1:29" s="849" customFormat="1" ht="13.5" customHeight="1">
      <c r="A42" s="2390"/>
      <c r="B42" s="2390"/>
      <c r="C42" s="844" t="s">
        <v>588</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3"/>
      <c r="L42" s="2394"/>
      <c r="M42" s="2390"/>
      <c r="N42" s="2390"/>
      <c r="O42" s="2390"/>
    </row>
    <row r="43" spans="1:29" s="849"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5" t="s">
        <v>589</v>
      </c>
      <c r="B45" s="1311"/>
      <c r="C45" s="1316"/>
      <c r="D45" s="1316"/>
      <c r="E45" s="1316"/>
      <c r="F45" s="1317"/>
      <c r="G45" s="1317"/>
      <c r="H45" s="1316"/>
      <c r="I45" s="1316"/>
      <c r="J45" s="1316"/>
      <c r="K45" s="1318"/>
      <c r="L45" s="1319"/>
      <c r="M45" s="1316"/>
      <c r="N45" s="1316"/>
      <c r="O45" s="1316"/>
      <c r="P45" s="850"/>
      <c r="Q45" s="851"/>
    </row>
    <row r="46" spans="1:29" s="855" customFormat="1" ht="15">
      <c r="A46" s="852" t="s">
        <v>568</v>
      </c>
      <c r="B46" s="853"/>
      <c r="C46" s="3082" t="str">
        <f>YEAR(C7)&amp;"-"&amp;MONTH(C7)</f>
        <v>2017-8</v>
      </c>
      <c r="D46" s="3083">
        <f>EDATE(C46,-1)</f>
        <v>42917</v>
      </c>
      <c r="E46" s="3083">
        <f t="shared" ref="E46:O46" si="16">EDATE(D46,-1)</f>
        <v>42887</v>
      </c>
      <c r="F46" s="3083">
        <f t="shared" si="16"/>
        <v>42856</v>
      </c>
      <c r="G46" s="3083">
        <f t="shared" si="16"/>
        <v>42826</v>
      </c>
      <c r="H46" s="3083">
        <f t="shared" si="16"/>
        <v>42795</v>
      </c>
      <c r="I46" s="3083">
        <f t="shared" si="16"/>
        <v>42767</v>
      </c>
      <c r="J46" s="3083">
        <f t="shared" si="16"/>
        <v>42736</v>
      </c>
      <c r="K46" s="3083">
        <f t="shared" si="16"/>
        <v>42705</v>
      </c>
      <c r="L46" s="3083">
        <f t="shared" si="16"/>
        <v>42675</v>
      </c>
      <c r="M46" s="3083">
        <f t="shared" si="16"/>
        <v>42644</v>
      </c>
      <c r="N46" s="3083">
        <f t="shared" si="16"/>
        <v>42614</v>
      </c>
      <c r="O46" s="3083">
        <f t="shared" si="16"/>
        <v>42583</v>
      </c>
      <c r="P46" s="854"/>
    </row>
    <row r="47" spans="1:29" s="412" customFormat="1" ht="15">
      <c r="A47" s="856"/>
      <c r="B47" s="857"/>
      <c r="C47" s="308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590</v>
      </c>
      <c r="B48" s="863"/>
      <c r="C48" s="864"/>
      <c r="D48" s="865"/>
      <c r="E48" s="865"/>
      <c r="F48" s="865"/>
      <c r="G48" s="865"/>
      <c r="H48" s="865"/>
      <c r="I48" s="865"/>
      <c r="J48" s="865"/>
      <c r="K48" s="865"/>
      <c r="L48" s="865"/>
      <c r="M48" s="866"/>
      <c r="N48" s="865"/>
      <c r="O48" s="867"/>
      <c r="P48" s="851"/>
      <c r="Q48" s="851"/>
    </row>
    <row r="49" spans="1:17" s="412" customFormat="1" ht="15">
      <c r="A49" s="868" t="s">
        <v>570</v>
      </c>
      <c r="B49" s="857"/>
      <c r="C49" s="869" t="s">
        <v>591</v>
      </c>
      <c r="D49" s="140" t="s">
        <v>1450</v>
      </c>
      <c r="E49" s="140"/>
      <c r="F49" s="140"/>
      <c r="G49" s="140"/>
      <c r="H49" s="140"/>
      <c r="I49" s="140"/>
      <c r="J49" s="140"/>
      <c r="K49" s="140"/>
      <c r="L49" s="141"/>
      <c r="M49" s="1056"/>
      <c r="N49" s="2396"/>
      <c r="O49" s="2396"/>
      <c r="P49" s="873"/>
      <c r="Q49" s="851"/>
    </row>
    <row r="50" spans="1:17" s="412" customFormat="1" ht="15.75" thickBot="1">
      <c r="A50" s="868"/>
      <c r="B50" s="857"/>
      <c r="C50" s="986">
        <v>100</v>
      </c>
      <c r="D50" s="859">
        <v>95</v>
      </c>
      <c r="E50" s="859"/>
      <c r="F50" s="859"/>
      <c r="G50" s="859"/>
      <c r="H50" s="859"/>
      <c r="I50" s="859"/>
      <c r="J50" s="859"/>
      <c r="K50" s="859"/>
      <c r="L50" s="859"/>
      <c r="M50" s="861"/>
      <c r="N50" s="2396"/>
      <c r="O50" s="2396"/>
      <c r="P50" s="851"/>
      <c r="Q50" s="851"/>
    </row>
    <row r="51" spans="1:17">
      <c r="A51" s="874" t="s">
        <v>593</v>
      </c>
      <c r="B51" s="875" t="s">
        <v>594</v>
      </c>
      <c r="C51" s="876" t="str">
        <f>C9</f>
        <v>仓储</v>
      </c>
      <c r="D51" s="122"/>
      <c r="E51" s="122"/>
      <c r="F51" s="122"/>
      <c r="G51" s="122"/>
      <c r="H51" s="122"/>
      <c r="I51" s="122"/>
      <c r="J51" s="122"/>
      <c r="K51" s="123"/>
      <c r="L51" s="124"/>
      <c r="M51" s="125"/>
      <c r="N51" s="2397"/>
      <c r="O51" s="2397"/>
      <c r="P51" s="340"/>
      <c r="Q51" s="851"/>
    </row>
    <row r="52" spans="1:17" ht="15.75" thickBot="1">
      <c r="A52" s="881"/>
      <c r="B52" s="882"/>
      <c r="C52" s="883">
        <v>100</v>
      </c>
      <c r="D52" s="883"/>
      <c r="E52" s="883"/>
      <c r="F52" s="883"/>
      <c r="G52" s="883"/>
      <c r="H52" s="883"/>
      <c r="I52" s="883"/>
      <c r="J52" s="883"/>
      <c r="K52" s="883"/>
      <c r="L52" s="883"/>
      <c r="M52" s="884"/>
      <c r="N52" s="2398"/>
      <c r="O52" s="2398"/>
      <c r="P52" s="340"/>
      <c r="Q52" s="851"/>
    </row>
    <row r="53" spans="1:17" ht="27.75" thickTop="1">
      <c r="A53" s="881"/>
      <c r="B53" s="885" t="s">
        <v>574</v>
      </c>
      <c r="C53" s="886" t="s">
        <v>595</v>
      </c>
      <c r="D53" s="886" t="s">
        <v>596</v>
      </c>
      <c r="E53" s="886" t="s">
        <v>597</v>
      </c>
      <c r="F53" s="886" t="s">
        <v>598</v>
      </c>
      <c r="G53" s="886" t="s">
        <v>622</v>
      </c>
      <c r="H53" s="886" t="s">
        <v>623</v>
      </c>
      <c r="I53" s="886" t="s">
        <v>624</v>
      </c>
      <c r="J53" s="886"/>
      <c r="K53" s="887"/>
      <c r="L53" s="888"/>
      <c r="M53" s="889"/>
      <c r="N53" s="2397"/>
      <c r="O53" s="2397"/>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8"/>
      <c r="O54" s="2398"/>
      <c r="P54" s="340"/>
      <c r="Q54" s="851"/>
    </row>
    <row r="55" spans="1:17" ht="15.75" thickTop="1">
      <c r="A55" s="881"/>
      <c r="B55" s="213">
        <f>B11</f>
        <v>111</v>
      </c>
      <c r="C55" s="126">
        <v>111</v>
      </c>
      <c r="D55" s="126">
        <v>222</v>
      </c>
      <c r="E55" s="126">
        <v>333</v>
      </c>
      <c r="F55" s="126">
        <v>444</v>
      </c>
      <c r="G55" s="126"/>
      <c r="H55" s="126"/>
      <c r="I55" s="126"/>
      <c r="J55" s="126"/>
      <c r="K55" s="127"/>
      <c r="L55" s="128"/>
      <c r="M55" s="129"/>
      <c r="N55" s="2397"/>
      <c r="O55" s="2397"/>
      <c r="P55" s="340"/>
      <c r="Q55" s="851"/>
    </row>
    <row r="56" spans="1:17" ht="15.75" thickBot="1">
      <c r="A56" s="881"/>
      <c r="B56" s="1058"/>
      <c r="C56" s="907">
        <v>100</v>
      </c>
      <c r="D56" s="883">
        <v>99</v>
      </c>
      <c r="E56" s="883">
        <v>98</v>
      </c>
      <c r="F56" s="883">
        <v>97</v>
      </c>
      <c r="G56" s="883"/>
      <c r="H56" s="883"/>
      <c r="I56" s="883"/>
      <c r="J56" s="883"/>
      <c r="K56" s="883"/>
      <c r="L56" s="883"/>
      <c r="M56" s="884"/>
      <c r="N56" s="2398"/>
      <c r="O56" s="2398"/>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9"/>
      <c r="O57" s="2399"/>
      <c r="P57" s="905"/>
      <c r="Q57" s="906"/>
    </row>
    <row r="58" spans="1:17" s="818" customFormat="1" ht="15.75" thickBot="1">
      <c r="A58" s="900"/>
      <c r="B58" s="1060"/>
      <c r="C58" s="907">
        <v>100</v>
      </c>
      <c r="D58" s="883">
        <v>98</v>
      </c>
      <c r="E58" s="883">
        <v>96</v>
      </c>
      <c r="F58" s="883">
        <v>94</v>
      </c>
      <c r="G58" s="883"/>
      <c r="H58" s="883"/>
      <c r="I58" s="883"/>
      <c r="J58" s="883"/>
      <c r="K58" s="883"/>
      <c r="L58" s="883"/>
      <c r="M58" s="884"/>
      <c r="N58" s="2398"/>
      <c r="O58" s="2398"/>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9"/>
      <c r="O59" s="2399"/>
      <c r="P59" s="817"/>
      <c r="Q59" s="908"/>
    </row>
    <row r="60" spans="1:17" s="818" customFormat="1" ht="15.75" thickBot="1">
      <c r="A60" s="900"/>
      <c r="B60" s="1060"/>
      <c r="C60" s="907">
        <v>100</v>
      </c>
      <c r="D60" s="907">
        <v>97</v>
      </c>
      <c r="E60" s="907">
        <v>94</v>
      </c>
      <c r="F60" s="907">
        <v>91</v>
      </c>
      <c r="G60" s="907"/>
      <c r="H60" s="909"/>
      <c r="I60" s="909"/>
      <c r="J60" s="909"/>
      <c r="K60" s="909"/>
      <c r="L60" s="909"/>
      <c r="M60" s="910"/>
      <c r="N60" s="2399"/>
      <c r="O60" s="2399"/>
      <c r="P60" s="905"/>
      <c r="Q60" s="906"/>
    </row>
    <row r="61" spans="1:17" ht="15" thickTop="1">
      <c r="A61" s="874" t="s">
        <v>576</v>
      </c>
      <c r="B61" s="875" t="s">
        <v>605</v>
      </c>
      <c r="C61" s="920" t="s">
        <v>600</v>
      </c>
      <c r="D61" s="920" t="s">
        <v>601</v>
      </c>
      <c r="E61" s="920" t="s">
        <v>602</v>
      </c>
      <c r="F61" s="920" t="s">
        <v>603</v>
      </c>
      <c r="G61" s="920" t="s">
        <v>604</v>
      </c>
      <c r="H61" s="876"/>
      <c r="I61" s="876"/>
      <c r="J61" s="876"/>
      <c r="K61" s="921"/>
      <c r="L61" s="922"/>
      <c r="M61" s="923"/>
      <c r="N61" s="2397"/>
      <c r="O61" s="239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8"/>
      <c r="O62" s="2398"/>
      <c r="P62" s="340"/>
      <c r="Q62" s="851"/>
    </row>
    <row r="63" spans="1:17" ht="27.75" thickTop="1">
      <c r="A63" s="881"/>
      <c r="B63" s="885" t="s">
        <v>606</v>
      </c>
      <c r="C63" s="925" t="s">
        <v>600</v>
      </c>
      <c r="D63" s="925" t="s">
        <v>601</v>
      </c>
      <c r="E63" s="925" t="s">
        <v>602</v>
      </c>
      <c r="F63" s="925" t="s">
        <v>603</v>
      </c>
      <c r="G63" s="925" t="s">
        <v>604</v>
      </c>
      <c r="H63" s="886"/>
      <c r="I63" s="886"/>
      <c r="J63" s="886"/>
      <c r="K63" s="887"/>
      <c r="L63" s="888"/>
      <c r="M63" s="889"/>
      <c r="N63" s="2397"/>
      <c r="O63" s="2397"/>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8"/>
      <c r="O64" s="2398"/>
      <c r="P64" s="340"/>
      <c r="Q64" s="851"/>
    </row>
    <row r="65" spans="1:17" ht="15.75" thickTop="1">
      <c r="A65" s="881"/>
      <c r="B65" s="1061" t="s">
        <v>3067</v>
      </c>
      <c r="C65" s="213" t="s">
        <v>3057</v>
      </c>
      <c r="D65" s="213" t="s">
        <v>3058</v>
      </c>
      <c r="E65" s="213" t="s">
        <v>3059</v>
      </c>
      <c r="F65" s="213" t="s">
        <v>3060</v>
      </c>
      <c r="G65" s="213" t="s">
        <v>3061</v>
      </c>
      <c r="H65" s="886"/>
      <c r="I65" s="886"/>
      <c r="J65" s="886"/>
      <c r="K65" s="886"/>
      <c r="L65" s="886"/>
      <c r="M65" s="2801"/>
      <c r="N65" s="2398"/>
      <c r="O65" s="2398"/>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8"/>
      <c r="O66" s="2398"/>
      <c r="P66" s="340"/>
      <c r="Q66" s="851"/>
    </row>
    <row r="67" spans="1:17" ht="15.75" thickTop="1">
      <c r="A67" s="881"/>
      <c r="B67" s="885" t="s">
        <v>607</v>
      </c>
      <c r="C67" s="925" t="s">
        <v>600</v>
      </c>
      <c r="D67" s="925" t="s">
        <v>601</v>
      </c>
      <c r="E67" s="925" t="s">
        <v>602</v>
      </c>
      <c r="F67" s="925" t="s">
        <v>603</v>
      </c>
      <c r="G67" s="925" t="s">
        <v>604</v>
      </c>
      <c r="H67" s="886"/>
      <c r="I67" s="886"/>
      <c r="J67" s="886"/>
      <c r="K67" s="887"/>
      <c r="L67" s="888"/>
      <c r="M67" s="889"/>
      <c r="N67" s="2397"/>
      <c r="O67" s="2397"/>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8"/>
      <c r="O68" s="2398"/>
      <c r="P68" s="340"/>
      <c r="Q68" s="851"/>
    </row>
    <row r="69" spans="1:17" ht="15.75" thickTop="1">
      <c r="A69" s="881"/>
      <c r="B69" s="885" t="s">
        <v>608</v>
      </c>
      <c r="C69" s="139" t="s">
        <v>1451</v>
      </c>
      <c r="D69" s="139" t="s">
        <v>1452</v>
      </c>
      <c r="E69" s="139"/>
      <c r="F69" s="139"/>
      <c r="G69" s="139"/>
      <c r="H69" s="131"/>
      <c r="I69" s="131"/>
      <c r="J69" s="131"/>
      <c r="K69" s="132"/>
      <c r="L69" s="133"/>
      <c r="M69" s="134"/>
      <c r="N69" s="2397"/>
      <c r="O69" s="2397"/>
      <c r="P69" s="340"/>
      <c r="Q69" s="851"/>
    </row>
    <row r="70" spans="1:17" ht="15.75" thickBot="1">
      <c r="A70" s="881"/>
      <c r="B70" s="890"/>
      <c r="C70" s="891">
        <v>100</v>
      </c>
      <c r="D70" s="891">
        <f>C70-$K22</f>
        <v>98</v>
      </c>
      <c r="E70" s="891"/>
      <c r="F70" s="891"/>
      <c r="G70" s="891"/>
      <c r="H70" s="891"/>
      <c r="I70" s="891"/>
      <c r="J70" s="891"/>
      <c r="K70" s="891"/>
      <c r="L70" s="891"/>
      <c r="M70" s="892"/>
      <c r="N70" s="2398"/>
      <c r="O70" s="2398"/>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6"/>
      <c r="O71" s="2396"/>
      <c r="P71" s="340"/>
      <c r="Q71" s="851"/>
    </row>
    <row r="72" spans="1:17" s="412" customFormat="1" ht="15.75" thickBot="1">
      <c r="A72" s="926"/>
      <c r="B72" s="1060"/>
      <c r="C72" s="907">
        <v>100</v>
      </c>
      <c r="D72" s="883">
        <v>99</v>
      </c>
      <c r="E72" s="883">
        <v>98</v>
      </c>
      <c r="F72" s="883">
        <v>97</v>
      </c>
      <c r="G72" s="883"/>
      <c r="H72" s="883"/>
      <c r="I72" s="883"/>
      <c r="J72" s="883"/>
      <c r="K72" s="883"/>
      <c r="L72" s="883"/>
      <c r="M72" s="884"/>
      <c r="N72" s="2398"/>
      <c r="O72" s="2398"/>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6"/>
      <c r="O73" s="2396"/>
      <c r="P73" s="340"/>
      <c r="Q73" s="851"/>
    </row>
    <row r="74" spans="1:17" s="412" customFormat="1" ht="15.75" thickBot="1">
      <c r="A74" s="926"/>
      <c r="B74" s="1060"/>
      <c r="C74" s="907">
        <v>100</v>
      </c>
      <c r="D74" s="883">
        <v>98</v>
      </c>
      <c r="E74" s="883">
        <v>96</v>
      </c>
      <c r="F74" s="883">
        <v>94</v>
      </c>
      <c r="G74" s="883"/>
      <c r="H74" s="883"/>
      <c r="I74" s="883"/>
      <c r="J74" s="883"/>
      <c r="K74" s="883"/>
      <c r="L74" s="883"/>
      <c r="M74" s="884"/>
      <c r="N74" s="2398"/>
      <c r="O74" s="2398"/>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9"/>
      <c r="O75" s="2399"/>
      <c r="P75" s="905"/>
      <c r="Q75" s="906"/>
    </row>
    <row r="76" spans="1:17" s="818" customFormat="1" ht="15.75" thickBot="1">
      <c r="A76" s="900"/>
      <c r="B76" s="1060"/>
      <c r="C76" s="907">
        <v>100</v>
      </c>
      <c r="D76" s="907">
        <v>97</v>
      </c>
      <c r="E76" s="907">
        <v>94</v>
      </c>
      <c r="F76" s="907">
        <v>91</v>
      </c>
      <c r="G76" s="883"/>
      <c r="H76" s="883"/>
      <c r="I76" s="883"/>
      <c r="J76" s="883"/>
      <c r="K76" s="883"/>
      <c r="L76" s="883"/>
      <c r="M76" s="884"/>
      <c r="N76" s="2399"/>
      <c r="O76" s="2399"/>
      <c r="P76" s="905"/>
      <c r="Q76" s="906"/>
    </row>
    <row r="77" spans="1:17" ht="15" thickTop="1">
      <c r="A77" s="874" t="s">
        <v>581</v>
      </c>
      <c r="B77" s="875" t="s">
        <v>609</v>
      </c>
      <c r="C77" s="139" t="s">
        <v>1453</v>
      </c>
      <c r="D77" s="139" t="s">
        <v>1454</v>
      </c>
      <c r="E77" s="122"/>
      <c r="F77" s="122"/>
      <c r="G77" s="122"/>
      <c r="H77" s="122"/>
      <c r="I77" s="122"/>
      <c r="J77" s="122"/>
      <c r="K77" s="123"/>
      <c r="L77" s="124"/>
      <c r="M77" s="125"/>
      <c r="N77" s="2397"/>
      <c r="O77" s="2397"/>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8"/>
      <c r="O78" s="2398"/>
      <c r="P78" s="340"/>
      <c r="Q78" s="851"/>
    </row>
    <row r="79" spans="1:17" ht="15.75" thickTop="1">
      <c r="A79" s="881"/>
      <c r="B79" s="885" t="s">
        <v>677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6"/>
      <c r="O79" s="2396"/>
      <c r="P79" s="340"/>
      <c r="Q79" s="851"/>
    </row>
    <row r="80" spans="1:17" ht="15">
      <c r="A80" s="881"/>
      <c r="B80" s="893"/>
      <c r="C80" s="950">
        <v>0.5</v>
      </c>
      <c r="D80" s="950">
        <v>0.6</v>
      </c>
      <c r="E80" s="950">
        <v>0.7</v>
      </c>
      <c r="F80" s="950">
        <v>0.8</v>
      </c>
      <c r="G80" s="950">
        <v>0.9</v>
      </c>
      <c r="H80" s="950">
        <v>1.0001</v>
      </c>
      <c r="I80" s="1007"/>
      <c r="J80" s="1007"/>
      <c r="K80" s="1015"/>
      <c r="L80" s="1016"/>
      <c r="M80" s="1017"/>
      <c r="N80" s="2396"/>
      <c r="O80" s="2396"/>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8"/>
      <c r="O81" s="2398"/>
      <c r="P81" s="905"/>
      <c r="Q81" s="906"/>
    </row>
    <row r="82" spans="1:17" ht="15" thickTop="1">
      <c r="A82" s="946"/>
      <c r="B82" s="893" t="s">
        <v>678</v>
      </c>
      <c r="C82" s="139" t="s">
        <v>1455</v>
      </c>
      <c r="D82" s="139" t="s">
        <v>1456</v>
      </c>
      <c r="E82" s="131" t="s">
        <v>1457</v>
      </c>
      <c r="F82" s="131"/>
      <c r="G82" s="131"/>
      <c r="H82" s="131"/>
      <c r="I82" s="131"/>
      <c r="J82" s="131"/>
      <c r="K82" s="132"/>
      <c r="L82" s="133"/>
      <c r="M82" s="134"/>
      <c r="N82" s="2397"/>
      <c r="O82" s="2397"/>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8"/>
      <c r="O83" s="2398"/>
      <c r="P83" s="340"/>
      <c r="Q83" s="851"/>
    </row>
    <row r="84" spans="1:17" ht="15" thickTop="1">
      <c r="A84" s="946"/>
      <c r="B84" s="885" t="s">
        <v>694</v>
      </c>
      <c r="C84" s="139" t="s">
        <v>240</v>
      </c>
      <c r="D84" s="139" t="s">
        <v>241</v>
      </c>
      <c r="E84" s="139"/>
      <c r="F84" s="139"/>
      <c r="G84" s="139"/>
      <c r="H84" s="139"/>
      <c r="I84" s="131"/>
      <c r="J84" s="131"/>
      <c r="K84" s="132"/>
      <c r="L84" s="133"/>
      <c r="M84" s="134"/>
      <c r="N84" s="2397"/>
      <c r="O84" s="2397"/>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8"/>
      <c r="O85" s="2398"/>
      <c r="P85" s="340"/>
      <c r="Q85" s="851"/>
    </row>
    <row r="86" spans="1:17" ht="15" thickTop="1">
      <c r="A86" s="946"/>
      <c r="B86" s="893" t="s">
        <v>695</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7"/>
      <c r="O86" s="2397"/>
      <c r="P86" s="340"/>
      <c r="Q86" s="851"/>
    </row>
    <row r="87" spans="1:17">
      <c r="A87" s="946"/>
      <c r="B87" s="893"/>
      <c r="C87" s="942">
        <v>0</v>
      </c>
      <c r="D87" s="942">
        <v>30</v>
      </c>
      <c r="E87" s="942">
        <v>50</v>
      </c>
      <c r="F87" s="942">
        <v>80</v>
      </c>
      <c r="G87" s="942">
        <v>100</v>
      </c>
      <c r="H87" s="942"/>
      <c r="I87" s="942"/>
      <c r="J87" s="943"/>
      <c r="K87" s="943"/>
      <c r="L87" s="944"/>
      <c r="M87" s="945"/>
      <c r="N87" s="2397"/>
      <c r="O87" s="2397"/>
      <c r="P87" s="340"/>
      <c r="Q87" s="851"/>
    </row>
    <row r="88" spans="1:17" ht="15.75" thickBot="1">
      <c r="A88" s="881"/>
      <c r="B88" s="890"/>
      <c r="C88" s="907">
        <v>100</v>
      </c>
      <c r="D88" s="883">
        <v>102</v>
      </c>
      <c r="E88" s="883">
        <v>104</v>
      </c>
      <c r="F88" s="883">
        <v>106</v>
      </c>
      <c r="G88" s="883"/>
      <c r="H88" s="883"/>
      <c r="I88" s="883"/>
      <c r="J88" s="883"/>
      <c r="K88" s="883"/>
      <c r="L88" s="883"/>
      <c r="M88" s="883"/>
      <c r="N88" s="2398"/>
      <c r="O88" s="2398"/>
      <c r="P88" s="340"/>
      <c r="Q88" s="851"/>
    </row>
    <row r="89" spans="1:17" s="818" customFormat="1" ht="15" thickTop="1">
      <c r="A89" s="940"/>
      <c r="B89" s="885" t="s">
        <v>696</v>
      </c>
      <c r="C89" s="139" t="s">
        <v>237</v>
      </c>
      <c r="D89" s="139" t="s">
        <v>236</v>
      </c>
      <c r="E89" s="139"/>
      <c r="F89" s="139"/>
      <c r="G89" s="139"/>
      <c r="H89" s="139"/>
      <c r="I89" s="139"/>
      <c r="J89" s="139"/>
      <c r="K89" s="139"/>
      <c r="L89" s="139"/>
      <c r="M89" s="1389"/>
      <c r="N89" s="2399"/>
      <c r="O89" s="2399"/>
      <c r="P89" s="905"/>
      <c r="Q89" s="906"/>
    </row>
    <row r="90" spans="1:17" s="818" customFormat="1" ht="15.75" thickBot="1">
      <c r="A90" s="900"/>
      <c r="B90" s="890"/>
      <c r="C90" s="907">
        <v>100</v>
      </c>
      <c r="D90" s="883">
        <v>102</v>
      </c>
      <c r="E90" s="883"/>
      <c r="F90" s="883"/>
      <c r="G90" s="883"/>
      <c r="H90" s="883"/>
      <c r="I90" s="883"/>
      <c r="J90" s="883"/>
      <c r="K90" s="883"/>
      <c r="L90" s="883"/>
      <c r="M90" s="884"/>
      <c r="N90" s="2399"/>
      <c r="O90" s="2399"/>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7"/>
      <c r="O91" s="2397"/>
      <c r="P91" s="340"/>
      <c r="Q91" s="851"/>
    </row>
    <row r="92" spans="1:17" ht="15.75" thickBot="1">
      <c r="A92" s="881"/>
      <c r="B92" s="1060"/>
      <c r="C92" s="907">
        <v>100</v>
      </c>
      <c r="D92" s="883">
        <v>99</v>
      </c>
      <c r="E92" s="883">
        <v>98</v>
      </c>
      <c r="F92" s="883">
        <v>97</v>
      </c>
      <c r="G92" s="907"/>
      <c r="H92" s="909"/>
      <c r="I92" s="909"/>
      <c r="J92" s="909"/>
      <c r="K92" s="909"/>
      <c r="L92" s="909"/>
      <c r="M92" s="910"/>
      <c r="N92" s="2398"/>
      <c r="O92" s="2398"/>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7"/>
      <c r="O93" s="2397"/>
      <c r="P93" s="340"/>
      <c r="Q93" s="851"/>
    </row>
    <row r="94" spans="1:17" ht="15.75" thickBot="1">
      <c r="A94" s="881"/>
      <c r="B94" s="1060"/>
      <c r="C94" s="907">
        <v>100</v>
      </c>
      <c r="D94" s="883">
        <v>98</v>
      </c>
      <c r="E94" s="883">
        <v>96</v>
      </c>
      <c r="F94" s="883">
        <v>94</v>
      </c>
      <c r="G94" s="907"/>
      <c r="H94" s="909"/>
      <c r="I94" s="909"/>
      <c r="J94" s="909"/>
      <c r="K94" s="909"/>
      <c r="L94" s="909"/>
      <c r="M94" s="910"/>
      <c r="N94" s="2398"/>
      <c r="O94" s="2398"/>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8"/>
      <c r="O95" s="2398"/>
      <c r="P95" s="984"/>
      <c r="Q95" s="985"/>
    </row>
    <row r="96" spans="1:17" ht="15.75" thickBot="1">
      <c r="A96" s="881"/>
      <c r="B96" s="1060"/>
      <c r="C96" s="907">
        <v>100</v>
      </c>
      <c r="D96" s="907">
        <v>97</v>
      </c>
      <c r="E96" s="907">
        <v>94</v>
      </c>
      <c r="F96" s="907">
        <v>91</v>
      </c>
      <c r="G96" s="907"/>
      <c r="H96" s="909"/>
      <c r="I96" s="909"/>
      <c r="J96" s="909"/>
      <c r="K96" s="909"/>
      <c r="L96" s="909"/>
      <c r="M96" s="910"/>
      <c r="N96" s="2398"/>
      <c r="O96" s="2398"/>
      <c r="P96" s="340"/>
      <c r="Q96" s="851"/>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2390</v>
      </c>
      <c r="B1" s="1987"/>
      <c r="C1" s="1987"/>
      <c r="D1" s="1987"/>
      <c r="E1" s="1987"/>
    </row>
    <row r="2" spans="1:5" ht="78" customHeight="1">
      <c r="A2" s="342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8"/>
      <c r="C2" s="3428"/>
      <c r="D2" s="3428"/>
      <c r="E2" s="3428"/>
    </row>
    <row r="3" spans="1:5" ht="18.75">
      <c r="A3" s="3429" t="s">
        <v>2391</v>
      </c>
      <c r="B3" s="3429"/>
      <c r="C3" s="3429"/>
      <c r="D3" s="3429"/>
      <c r="E3" s="3429"/>
    </row>
    <row r="4" spans="1:5" ht="19.5" thickBot="1">
      <c r="A4" s="1999"/>
      <c r="B4" s="3427" t="s">
        <v>2396</v>
      </c>
      <c r="C4" s="3427"/>
      <c r="D4" s="3427"/>
      <c r="E4" s="1999"/>
    </row>
    <row r="5" spans="1:5" ht="16.5" thickTop="1">
      <c r="A5" s="1987"/>
      <c r="B5" s="3425" t="s">
        <v>2392</v>
      </c>
      <c r="C5" s="1989" t="s">
        <v>2397</v>
      </c>
      <c r="D5" s="1990">
        <f ca="1">结果表!H101</f>
        <v>231937</v>
      </c>
      <c r="E5" s="1987"/>
    </row>
    <row r="6" spans="1:5" ht="15.75">
      <c r="A6" s="1987"/>
      <c r="B6" s="3425"/>
      <c r="C6" s="1989" t="s">
        <v>3280</v>
      </c>
      <c r="D6" s="1990" t="str">
        <f ca="1">NUMBERSTRING(INT(D5*10000),2)&amp;"元整"</f>
        <v>贰拾叁亿壹仟玖佰叁拾柒万元整</v>
      </c>
      <c r="E6" s="1987"/>
    </row>
    <row r="7" spans="1:5" ht="15.75">
      <c r="A7" s="1987"/>
      <c r="B7" s="3430"/>
      <c r="C7" s="1991" t="s">
        <v>2398</v>
      </c>
      <c r="D7" s="1992">
        <f ca="1">结果表!H102</f>
        <v>15996</v>
      </c>
      <c r="E7" s="1987"/>
    </row>
    <row r="8" spans="1:5" ht="15.75">
      <c r="A8" s="1987"/>
      <c r="B8" s="3431" t="str">
        <f>结果表!E103</f>
        <v>2.估价师知悉的除抵押担保权以外的法定优先受偿款</v>
      </c>
      <c r="C8" s="1993" t="s">
        <v>2399</v>
      </c>
      <c r="D8" s="1992">
        <f>结果表!H103</f>
        <v>13304</v>
      </c>
      <c r="E8" s="1987"/>
    </row>
    <row r="9" spans="1:5" ht="15.75">
      <c r="A9" s="1987"/>
      <c r="B9" s="3433"/>
      <c r="C9" s="1989" t="s">
        <v>3280</v>
      </c>
      <c r="D9" s="1990" t="str">
        <f>NUMBERSTRING(INT(D8*10000),2)&amp;"元整"</f>
        <v>壹亿叁仟叁佰零肆万元整</v>
      </c>
      <c r="E9" s="1987"/>
    </row>
    <row r="10" spans="1:5" ht="15">
      <c r="A10" s="1987"/>
      <c r="B10" s="1994" t="s">
        <v>2393</v>
      </c>
      <c r="C10" s="1995" t="s">
        <v>2399</v>
      </c>
      <c r="D10" s="1996">
        <f>结果表!H104</f>
        <v>90000</v>
      </c>
      <c r="E10" s="1987"/>
    </row>
    <row r="11" spans="1:5" ht="15">
      <c r="A11" s="1987"/>
      <c r="B11" s="1994" t="s">
        <v>2394</v>
      </c>
      <c r="C11" s="1995" t="s">
        <v>2399</v>
      </c>
      <c r="D11" s="1996">
        <f>结果表!H105</f>
        <v>3763</v>
      </c>
      <c r="E11" s="1987"/>
    </row>
    <row r="12" spans="1:5" ht="15">
      <c r="A12" s="1987"/>
      <c r="B12" s="1994" t="s">
        <v>2395</v>
      </c>
      <c r="C12" s="1995" t="s">
        <v>2399</v>
      </c>
      <c r="D12" s="1996">
        <f>结果表!H106</f>
        <v>9541</v>
      </c>
      <c r="E12" s="1987"/>
    </row>
    <row r="13" spans="1:5" ht="15.75">
      <c r="A13" s="1987"/>
      <c r="B13" s="3424" t="str">
        <f>结果表!E107</f>
        <v>3.房地产抵押价值</v>
      </c>
      <c r="C13" s="1997" t="s">
        <v>2397</v>
      </c>
      <c r="D13" s="2000">
        <f ca="1">结果表!H107</f>
        <v>218633</v>
      </c>
      <c r="E13" s="1987"/>
    </row>
    <row r="14" spans="1:5" ht="15.75">
      <c r="A14" s="1987"/>
      <c r="B14" s="3425"/>
      <c r="C14" s="1989" t="s">
        <v>3280</v>
      </c>
      <c r="D14" s="1990" t="str">
        <f ca="1">NUMBERSTRING(INT(D13*10000),2)&amp;"元整"</f>
        <v>贰拾壹亿捌仟陆佰叁拾叁万元整</v>
      </c>
      <c r="E14" s="1987"/>
    </row>
    <row r="15" spans="1:5" ht="15">
      <c r="A15" s="1987"/>
      <c r="B15" s="3430"/>
      <c r="C15" s="1991" t="s">
        <v>2398</v>
      </c>
      <c r="D15" s="2102">
        <f ca="1">结果表!H108</f>
        <v>15079</v>
      </c>
      <c r="E15" s="1987"/>
    </row>
    <row r="16" spans="1:5" ht="14.25">
      <c r="A16" s="1987"/>
      <c r="B16" s="3431" t="str">
        <f>结果表!E109</f>
        <v>4.抵押担保权已注销时的房地产抵押价值</v>
      </c>
      <c r="C16" s="1997" t="s">
        <v>2397</v>
      </c>
      <c r="D16" s="2103">
        <f ca="1">结果表!H109</f>
        <v>218633</v>
      </c>
      <c r="E16" s="1987"/>
    </row>
    <row r="17" spans="1:5" ht="15.75">
      <c r="A17" s="1987"/>
      <c r="B17" s="3432"/>
      <c r="C17" s="1989" t="s">
        <v>3280</v>
      </c>
      <c r="D17" s="1990" t="str">
        <f ca="1">NUMBERSTRING(INT(D16*10000),2)&amp;"元整"</f>
        <v>贰拾壹亿捌仟陆佰叁拾叁万元整</v>
      </c>
      <c r="E17" s="1987"/>
    </row>
    <row r="18" spans="1:5" ht="15">
      <c r="A18" s="1987"/>
      <c r="B18" s="3433"/>
      <c r="C18" s="1991" t="s">
        <v>2398</v>
      </c>
      <c r="D18" s="2102">
        <f ca="1">结果表!H110</f>
        <v>15079</v>
      </c>
      <c r="E18" s="1987"/>
    </row>
    <row r="19" spans="1:5" ht="15.75">
      <c r="A19" s="1987"/>
      <c r="B19" s="3424" t="str">
        <f>结果表!E111</f>
        <v>5.抵押净值</v>
      </c>
      <c r="C19" s="1997" t="s">
        <v>2397</v>
      </c>
      <c r="D19" s="1992">
        <f ca="1">结果表!H111</f>
        <v>87241</v>
      </c>
      <c r="E19" s="1987"/>
    </row>
    <row r="20" spans="1:5" ht="15.75">
      <c r="A20" s="1987"/>
      <c r="B20" s="3425"/>
      <c r="C20" s="1989" t="s">
        <v>3280</v>
      </c>
      <c r="D20" s="1990" t="str">
        <f ca="1">NUMBERSTRING(INT(D19*10000),2)&amp;"元整"</f>
        <v>捌亿柒仟贰佰肆拾壹万元整</v>
      </c>
      <c r="E20" s="1987"/>
    </row>
    <row r="21" spans="1:5" ht="15.75" thickBot="1">
      <c r="A21" s="1987"/>
      <c r="B21" s="3426"/>
      <c r="C21" s="2104" t="s">
        <v>2398</v>
      </c>
      <c r="D21" s="2105">
        <f ca="1">结果表!H112</f>
        <v>6017</v>
      </c>
      <c r="E21" s="1987"/>
    </row>
    <row r="22" spans="1:5" ht="14.25" thickTop="1">
      <c r="A22" s="1987"/>
      <c r="B22" s="1998" t="s">
        <v>2425</v>
      </c>
      <c r="C22" s="1987"/>
      <c r="D22" s="1987"/>
      <c r="E22" s="1987"/>
    </row>
    <row r="23" spans="1:5">
      <c r="A23" s="1987"/>
      <c r="B23" s="1987"/>
      <c r="C23" s="1987"/>
      <c r="D23" s="1987"/>
      <c r="E23" s="1987"/>
    </row>
    <row r="24" spans="1:5" ht="18.75">
      <c r="A24" s="2018"/>
      <c r="B24" s="2019" t="s">
        <v>2405</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697</v>
      </c>
      <c r="B1" s="742"/>
      <c r="C1" s="743" t="s">
        <v>737</v>
      </c>
      <c r="D1" s="1307"/>
      <c r="E1" s="1307"/>
      <c r="F1" s="1306" t="s">
        <v>554</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510</v>
      </c>
      <c r="B2" s="1085" t="e">
        <f>F61</f>
        <v>#DIV/0!</v>
      </c>
      <c r="C2" s="2370"/>
      <c r="D2" s="2370"/>
      <c r="E2" s="2370"/>
      <c r="F2" s="2371"/>
      <c r="G2" s="2370"/>
      <c r="H2" s="2370"/>
      <c r="I2" s="2370"/>
      <c r="J2" s="2370"/>
      <c r="K2" s="2372"/>
      <c r="L2" s="2373"/>
      <c r="M2" s="2374"/>
      <c r="N2" s="2374"/>
      <c r="O2" s="2374"/>
      <c r="P2" s="1320"/>
      <c r="Q2" s="1320"/>
      <c r="R2" s="1320"/>
      <c r="S2" s="1320"/>
      <c r="T2" s="1320"/>
      <c r="U2" s="1320"/>
      <c r="V2" s="1320"/>
      <c r="W2" s="1320"/>
      <c r="X2" s="1320"/>
      <c r="Y2" s="1320"/>
      <c r="Z2" s="1320"/>
      <c r="AA2" s="1320"/>
      <c r="AB2" s="1320"/>
      <c r="AC2" s="1321"/>
    </row>
    <row r="3" spans="1:29" s="745" customFormat="1" ht="28.5" customHeight="1" thickBot="1">
      <c r="A3" s="583" t="s">
        <v>511</v>
      </c>
      <c r="B3" s="956" t="e">
        <f>ROUND(IF(D3="",B2*10000/'数据-汇总表'!E3,B2*10000/D3),0)</f>
        <v>#DIV/0!</v>
      </c>
      <c r="C3" s="583" t="s">
        <v>3293</v>
      </c>
      <c r="D3" s="3094"/>
      <c r="E3" s="2370"/>
      <c r="F3" s="2371"/>
      <c r="G3" s="2370"/>
      <c r="H3" s="2370"/>
      <c r="I3" s="2370"/>
      <c r="J3" s="2370"/>
      <c r="K3" s="2372"/>
      <c r="L3" s="2373"/>
      <c r="M3" s="2374"/>
      <c r="N3" s="2374"/>
      <c r="O3" s="2374"/>
      <c r="P3" s="1320"/>
      <c r="Q3" s="1320"/>
      <c r="R3" s="1320"/>
      <c r="S3" s="1320"/>
      <c r="T3" s="1320"/>
      <c r="U3" s="1320"/>
      <c r="V3" s="1320"/>
      <c r="W3" s="1320"/>
      <c r="X3" s="1320"/>
      <c r="Y3" s="1320"/>
      <c r="Z3" s="1320"/>
      <c r="AA3" s="1320"/>
      <c r="AB3" s="1413"/>
      <c r="AC3" s="1403"/>
    </row>
    <row r="4" spans="1:29" ht="15">
      <c r="A4" s="748" t="s">
        <v>555</v>
      </c>
      <c r="B4" s="749"/>
      <c r="C4" s="3636" t="s">
        <v>556</v>
      </c>
      <c r="D4" s="3637"/>
      <c r="E4" s="3638" t="s">
        <v>557</v>
      </c>
      <c r="F4" s="3639"/>
      <c r="G4" s="3636" t="s">
        <v>558</v>
      </c>
      <c r="H4" s="3637"/>
      <c r="I4" s="3636" t="s">
        <v>559</v>
      </c>
      <c r="J4" s="3637"/>
      <c r="K4" s="957" t="s">
        <v>560</v>
      </c>
      <c r="L4" s="2375"/>
      <c r="M4" s="2376"/>
      <c r="N4" s="2376"/>
      <c r="O4" s="2376"/>
      <c r="P4" s="3640" t="s">
        <v>561</v>
      </c>
      <c r="Q4" s="3641"/>
      <c r="R4" s="3625" t="s">
        <v>557</v>
      </c>
      <c r="S4" s="3626"/>
      <c r="T4" s="3625" t="s">
        <v>558</v>
      </c>
      <c r="U4" s="3626"/>
      <c r="V4" s="3648" t="s">
        <v>559</v>
      </c>
      <c r="W4" s="3648"/>
      <c r="X4" s="1322"/>
      <c r="Y4" s="3625" t="s">
        <v>561</v>
      </c>
      <c r="Z4" s="3626"/>
      <c r="AA4" s="3620" t="s">
        <v>557</v>
      </c>
      <c r="AB4" s="3621" t="s">
        <v>558</v>
      </c>
      <c r="AC4" s="3620" t="s">
        <v>559</v>
      </c>
    </row>
    <row r="5" spans="1:29" ht="15">
      <c r="A5" s="751"/>
      <c r="B5" s="752"/>
      <c r="C5" s="3631" t="s">
        <v>1444</v>
      </c>
      <c r="D5" s="3632"/>
      <c r="E5" s="3629" t="s">
        <v>1445</v>
      </c>
      <c r="F5" s="3630"/>
      <c r="G5" s="3631" t="s">
        <v>1458</v>
      </c>
      <c r="H5" s="3632"/>
      <c r="I5" s="3631" t="s">
        <v>1446</v>
      </c>
      <c r="J5" s="3632"/>
      <c r="K5" s="957"/>
      <c r="L5" s="2375"/>
      <c r="M5" s="2376"/>
      <c r="N5" s="2376"/>
      <c r="O5" s="2376"/>
      <c r="P5" s="3642"/>
      <c r="Q5" s="3643"/>
      <c r="R5" s="3627"/>
      <c r="S5" s="3628"/>
      <c r="T5" s="3627"/>
      <c r="U5" s="3628"/>
      <c r="V5" s="3648"/>
      <c r="W5" s="3648"/>
      <c r="X5" s="1322"/>
      <c r="Y5" s="3627"/>
      <c r="Z5" s="3628"/>
      <c r="AA5" s="3621"/>
      <c r="AB5" s="3621"/>
      <c r="AC5" s="3621"/>
    </row>
    <row r="6" spans="1:29" ht="15.75" thickBot="1">
      <c r="A6" s="753"/>
      <c r="B6" s="754"/>
      <c r="C6" s="3633" t="s">
        <v>1447</v>
      </c>
      <c r="D6" s="3634"/>
      <c r="E6" s="3677" t="s">
        <v>1447</v>
      </c>
      <c r="F6" s="3678"/>
      <c r="G6" s="3633" t="s">
        <v>1447</v>
      </c>
      <c r="H6" s="3634"/>
      <c r="I6" s="3633" t="s">
        <v>1447</v>
      </c>
      <c r="J6" s="3634"/>
      <c r="K6" s="957" t="s">
        <v>567</v>
      </c>
      <c r="L6" s="2375"/>
      <c r="M6" s="2376"/>
      <c r="N6" s="2376"/>
      <c r="O6" s="2376"/>
      <c r="P6" s="3644"/>
      <c r="Q6" s="3645"/>
      <c r="R6" s="3627"/>
      <c r="S6" s="3628"/>
      <c r="T6" s="3646"/>
      <c r="U6" s="3647"/>
      <c r="V6" s="3648"/>
      <c r="W6" s="3648"/>
      <c r="X6" s="1322"/>
      <c r="Y6" s="3646"/>
      <c r="Z6" s="3647"/>
      <c r="AA6" s="3622"/>
      <c r="AB6" s="3622"/>
      <c r="AC6" s="3622"/>
    </row>
    <row r="7" spans="1:29" s="412" customFormat="1" ht="15.75" thickBot="1">
      <c r="A7" s="755" t="s">
        <v>568</v>
      </c>
      <c r="B7" s="756"/>
      <c r="C7" s="757">
        <f>'数据-取费表'!B2</f>
        <v>42959</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77"/>
      <c r="M7" s="2378"/>
      <c r="N7" s="2378"/>
      <c r="O7" s="2378"/>
      <c r="P7" s="3623" t="s">
        <v>569</v>
      </c>
      <c r="Q7" s="3649"/>
      <c r="R7" s="1323" t="s">
        <v>70</v>
      </c>
      <c r="S7" s="1324">
        <f t="shared" ref="S7:S15" si="0">F7</f>
        <v>95</v>
      </c>
      <c r="T7" s="1323" t="s">
        <v>70</v>
      </c>
      <c r="U7" s="1324">
        <f t="shared" ref="U7:U15" si="1">H7</f>
        <v>0</v>
      </c>
      <c r="V7" s="1323" t="s">
        <v>70</v>
      </c>
      <c r="W7" s="1324">
        <f t="shared" ref="W7:W15" si="2">J7</f>
        <v>94.5</v>
      </c>
      <c r="X7" s="1325"/>
      <c r="Y7" s="3623" t="s">
        <v>569</v>
      </c>
      <c r="Z7" s="3624"/>
      <c r="AA7" s="1326">
        <f>D7/F7</f>
        <v>1.0526315789473684</v>
      </c>
      <c r="AB7" s="1326" t="e">
        <f>D7/H7</f>
        <v>#DIV/0!</v>
      </c>
      <c r="AC7" s="1326">
        <f>D7/J7</f>
        <v>1.0582010582010581</v>
      </c>
    </row>
    <row r="8" spans="1:29" s="412" customFormat="1" ht="15.75" thickBot="1">
      <c r="A8" s="755" t="s">
        <v>570</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7"/>
      <c r="M8" s="2378"/>
      <c r="N8" s="2378"/>
      <c r="O8" s="2378"/>
      <c r="P8" s="3623" t="s">
        <v>612</v>
      </c>
      <c r="Q8" s="3624"/>
      <c r="R8" s="1323" t="s">
        <v>70</v>
      </c>
      <c r="S8" s="1324">
        <f t="shared" si="0"/>
        <v>100</v>
      </c>
      <c r="T8" s="1323" t="s">
        <v>70</v>
      </c>
      <c r="U8" s="1324">
        <f t="shared" si="1"/>
        <v>96</v>
      </c>
      <c r="V8" s="1323" t="s">
        <v>70</v>
      </c>
      <c r="W8" s="1324">
        <f t="shared" si="2"/>
        <v>100</v>
      </c>
      <c r="X8" s="1325"/>
      <c r="Y8" s="3623" t="s">
        <v>612</v>
      </c>
      <c r="Z8" s="3624"/>
      <c r="AA8" s="1326">
        <f t="shared" ref="AA8:AA40" si="3">D8/F8</f>
        <v>1</v>
      </c>
      <c r="AB8" s="1326">
        <f t="shared" ref="AB8:AB40" si="4">D8/H8</f>
        <v>1.0416666666666667</v>
      </c>
      <c r="AC8" s="1326">
        <f t="shared" ref="AC8:AC40" si="5">D8/J8</f>
        <v>1</v>
      </c>
    </row>
    <row r="9" spans="1:29" s="412" customFormat="1">
      <c r="A9" s="763" t="s">
        <v>571</v>
      </c>
      <c r="B9" s="367" t="s">
        <v>594</v>
      </c>
      <c r="C9" s="1026" t="s">
        <v>40</v>
      </c>
      <c r="D9" s="429">
        <v>100</v>
      </c>
      <c r="E9" s="1026" t="s">
        <v>303</v>
      </c>
      <c r="F9" s="429">
        <f>SUMIF(70:70,E9,71:71)-SUMIF(70:70,C9,71:71)+100</f>
        <v>105</v>
      </c>
      <c r="G9" s="1026" t="s">
        <v>40</v>
      </c>
      <c r="H9" s="429">
        <f>SUMIF(70:70,G9,71:71)-SUMIF(70:70,C9,71:71)+100</f>
        <v>100</v>
      </c>
      <c r="I9" s="1026" t="s">
        <v>40</v>
      </c>
      <c r="J9" s="429">
        <f>SUMIF(70:70,I9,71:71)-SUMIF(70:70,C9,71:71)+100</f>
        <v>100</v>
      </c>
      <c r="K9" s="958"/>
      <c r="L9" s="2377"/>
      <c r="M9" s="2378"/>
      <c r="N9" s="2378"/>
      <c r="O9" s="2379"/>
      <c r="P9" s="3635" t="s">
        <v>572</v>
      </c>
      <c r="Q9" s="302" t="str">
        <f t="shared" ref="Q9:Q15" si="6">B9</f>
        <v>用途</v>
      </c>
      <c r="R9" s="1323" t="s">
        <v>70</v>
      </c>
      <c r="S9" s="1324">
        <f t="shared" si="0"/>
        <v>105</v>
      </c>
      <c r="T9" s="1323" t="s">
        <v>70</v>
      </c>
      <c r="U9" s="1324">
        <f t="shared" si="1"/>
        <v>100</v>
      </c>
      <c r="V9" s="1323" t="s">
        <v>70</v>
      </c>
      <c r="W9" s="1324">
        <f t="shared" si="2"/>
        <v>100</v>
      </c>
      <c r="X9" s="1325"/>
      <c r="Y9" s="3590" t="s">
        <v>573</v>
      </c>
      <c r="Z9" s="350" t="str">
        <f t="shared" ref="Z9:Z15" si="7">Q9</f>
        <v>用途</v>
      </c>
      <c r="AA9" s="1326">
        <f t="shared" si="3"/>
        <v>0.95238095238095233</v>
      </c>
      <c r="AB9" s="1326">
        <f t="shared" si="4"/>
        <v>1</v>
      </c>
      <c r="AC9" s="1326">
        <f t="shared" si="5"/>
        <v>1</v>
      </c>
    </row>
    <row r="10" spans="1:29" s="775" customFormat="1" ht="27">
      <c r="A10" s="769"/>
      <c r="B10" s="770" t="s">
        <v>574</v>
      </c>
      <c r="C10" s="1028"/>
      <c r="D10" s="430">
        <v>100</v>
      </c>
      <c r="E10" s="1028"/>
      <c r="F10" s="430">
        <f>ROUND(100/'数据-取费表'!G16,0)</f>
        <v>101</v>
      </c>
      <c r="G10" s="1028"/>
      <c r="H10" s="430">
        <f>ROUND(100/'数据-取费表'!G16,0)</f>
        <v>101</v>
      </c>
      <c r="I10" s="1028"/>
      <c r="J10" s="430">
        <f>ROUND(100/'数据-取费表'!G16,0)</f>
        <v>101</v>
      </c>
      <c r="K10" s="1086"/>
      <c r="L10" s="2380"/>
      <c r="M10" s="2381"/>
      <c r="N10" s="2381"/>
      <c r="O10" s="2382"/>
      <c r="P10" s="3635"/>
      <c r="Q10" s="302" t="str">
        <f t="shared" si="6"/>
        <v>土地使用年限（年）</v>
      </c>
      <c r="R10" s="1323" t="s">
        <v>70</v>
      </c>
      <c r="S10" s="1324">
        <f t="shared" si="0"/>
        <v>101</v>
      </c>
      <c r="T10" s="1323" t="s">
        <v>70</v>
      </c>
      <c r="U10" s="1324">
        <f t="shared" si="1"/>
        <v>101</v>
      </c>
      <c r="V10" s="1323" t="s">
        <v>70</v>
      </c>
      <c r="W10" s="1324">
        <f t="shared" si="2"/>
        <v>101</v>
      </c>
      <c r="X10" s="1325"/>
      <c r="Y10" s="3590"/>
      <c r="Z10" s="350" t="str">
        <f t="shared" si="7"/>
        <v>土地使用年限（年）</v>
      </c>
      <c r="AA10" s="1326">
        <f t="shared" si="3"/>
        <v>0.99009900990099009</v>
      </c>
      <c r="AB10" s="1326">
        <f t="shared" si="4"/>
        <v>0.99009900990099009</v>
      </c>
      <c r="AC10" s="1326">
        <f t="shared" si="5"/>
        <v>0.99009900990099009</v>
      </c>
    </row>
    <row r="11" spans="1:29" ht="15">
      <c r="A11" s="776"/>
      <c r="B11" s="770" t="s">
        <v>575</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3"/>
      <c r="M11" s="2376"/>
      <c r="N11" s="2376"/>
      <c r="O11" s="2384"/>
      <c r="P11" s="3635"/>
      <c r="Q11" s="302" t="str">
        <f t="shared" si="6"/>
        <v>容积率</v>
      </c>
      <c r="R11" s="1323" t="s">
        <v>70</v>
      </c>
      <c r="S11" s="1324">
        <f t="shared" si="0"/>
        <v>103</v>
      </c>
      <c r="T11" s="1323" t="s">
        <v>70</v>
      </c>
      <c r="U11" s="1324">
        <f t="shared" si="1"/>
        <v>103</v>
      </c>
      <c r="V11" s="1323" t="s">
        <v>70</v>
      </c>
      <c r="W11" s="1324">
        <f t="shared" si="2"/>
        <v>109</v>
      </c>
      <c r="X11" s="1325"/>
      <c r="Y11" s="3590"/>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7"/>
      <c r="M12" s="2378"/>
      <c r="N12" s="2378"/>
      <c r="O12" s="2379"/>
      <c r="P12" s="3635"/>
      <c r="Q12" s="302">
        <f t="shared" si="6"/>
        <v>111</v>
      </c>
      <c r="R12" s="1323" t="s">
        <v>70</v>
      </c>
      <c r="S12" s="1324">
        <f t="shared" si="0"/>
        <v>99</v>
      </c>
      <c r="T12" s="1323" t="s">
        <v>70</v>
      </c>
      <c r="U12" s="1324">
        <f t="shared" si="1"/>
        <v>98</v>
      </c>
      <c r="V12" s="1323" t="s">
        <v>70</v>
      </c>
      <c r="W12" s="1324">
        <f t="shared" si="2"/>
        <v>97</v>
      </c>
      <c r="X12" s="1325"/>
      <c r="Y12" s="3590"/>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5"/>
      <c r="M13" s="2376"/>
      <c r="N13" s="2376"/>
      <c r="O13" s="2384"/>
      <c r="P13" s="3635"/>
      <c r="Q13" s="302">
        <f t="shared" si="6"/>
        <v>111</v>
      </c>
      <c r="R13" s="1323" t="s">
        <v>70</v>
      </c>
      <c r="S13" s="1324">
        <f t="shared" si="0"/>
        <v>98</v>
      </c>
      <c r="T13" s="1323" t="s">
        <v>70</v>
      </c>
      <c r="U13" s="1324">
        <f t="shared" si="1"/>
        <v>96</v>
      </c>
      <c r="V13" s="1323" t="s">
        <v>70</v>
      </c>
      <c r="W13" s="1324">
        <f t="shared" si="2"/>
        <v>94</v>
      </c>
      <c r="X13" s="1325"/>
      <c r="Y13" s="3590"/>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5"/>
      <c r="M14" s="2376"/>
      <c r="N14" s="2376"/>
      <c r="O14" s="2384"/>
      <c r="P14" s="3635"/>
      <c r="Q14" s="302">
        <f t="shared" si="6"/>
        <v>111</v>
      </c>
      <c r="R14" s="1323" t="s">
        <v>70</v>
      </c>
      <c r="S14" s="1324">
        <f t="shared" si="0"/>
        <v>97</v>
      </c>
      <c r="T14" s="1323" t="s">
        <v>70</v>
      </c>
      <c r="U14" s="1324">
        <f t="shared" si="1"/>
        <v>94</v>
      </c>
      <c r="V14" s="1323" t="s">
        <v>70</v>
      </c>
      <c r="W14" s="1324">
        <f t="shared" si="2"/>
        <v>91</v>
      </c>
      <c r="X14" s="1325"/>
      <c r="Y14" s="3590"/>
      <c r="Z14" s="350">
        <f t="shared" si="7"/>
        <v>111</v>
      </c>
      <c r="AA14" s="1326">
        <f t="shared" si="3"/>
        <v>1.0309278350515463</v>
      </c>
      <c r="AB14" s="1326">
        <f t="shared" si="4"/>
        <v>1.0638297872340425</v>
      </c>
      <c r="AC14" s="1326">
        <f t="shared" si="5"/>
        <v>1.098901098901099</v>
      </c>
    </row>
    <row r="15" spans="1:29" ht="81">
      <c r="A15" s="788" t="s">
        <v>576</v>
      </c>
      <c r="B15" s="976" t="s">
        <v>738</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5"/>
      <c r="M15" s="2376"/>
      <c r="N15" s="2376"/>
      <c r="O15" s="2384"/>
      <c r="P15" s="3650" t="s">
        <v>577</v>
      </c>
      <c r="Q15" s="1327" t="str">
        <f t="shared" si="6"/>
        <v>产业集聚程度</v>
      </c>
      <c r="R15" s="1328" t="s">
        <v>70</v>
      </c>
      <c r="S15" s="1329">
        <f t="shared" si="0"/>
        <v>100</v>
      </c>
      <c r="T15" s="1328" t="s">
        <v>70</v>
      </c>
      <c r="U15" s="1329">
        <f t="shared" si="1"/>
        <v>100</v>
      </c>
      <c r="V15" s="1328" t="s">
        <v>70</v>
      </c>
      <c r="W15" s="1329">
        <f t="shared" si="2"/>
        <v>100</v>
      </c>
      <c r="X15" s="1322"/>
      <c r="Y15" s="3650" t="s">
        <v>577</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5"/>
      <c r="M16" s="2376"/>
      <c r="N16" s="2376"/>
      <c r="O16" s="2384"/>
      <c r="P16" s="3651"/>
      <c r="Q16" s="1327"/>
      <c r="R16" s="1328"/>
      <c r="S16" s="1329"/>
      <c r="T16" s="1328"/>
      <c r="U16" s="1329"/>
      <c r="V16" s="1328"/>
      <c r="W16" s="1329"/>
      <c r="X16" s="1322"/>
      <c r="Y16" s="3651"/>
      <c r="Z16" s="1330"/>
      <c r="AA16" s="1331">
        <v>1</v>
      </c>
      <c r="AB16" s="1331">
        <v>1</v>
      </c>
      <c r="AC16" s="1331">
        <v>1</v>
      </c>
    </row>
    <row r="17" spans="1:29" ht="94.5">
      <c r="A17" s="776"/>
      <c r="B17" s="978" t="s">
        <v>647</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5"/>
      <c r="M17" s="2376"/>
      <c r="N17" s="2376"/>
      <c r="O17" s="2384"/>
      <c r="P17" s="3651"/>
      <c r="Q17" s="1327" t="str">
        <f>B17</f>
        <v>交通便捷度</v>
      </c>
      <c r="R17" s="1328" t="s">
        <v>70</v>
      </c>
      <c r="S17" s="1329">
        <f>F17</f>
        <v>96</v>
      </c>
      <c r="T17" s="1328" t="s">
        <v>70</v>
      </c>
      <c r="U17" s="1329">
        <f>H17</f>
        <v>102</v>
      </c>
      <c r="V17" s="1328" t="s">
        <v>70</v>
      </c>
      <c r="W17" s="1329">
        <f>J17</f>
        <v>98</v>
      </c>
      <c r="X17" s="1322"/>
      <c r="Y17" s="3651"/>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5"/>
      <c r="M18" s="2376"/>
      <c r="N18" s="2376"/>
      <c r="O18" s="2384"/>
      <c r="P18" s="3651"/>
      <c r="Q18" s="1327"/>
      <c r="R18" s="1328"/>
      <c r="S18" s="1329"/>
      <c r="T18" s="1328"/>
      <c r="U18" s="1329"/>
      <c r="V18" s="1328"/>
      <c r="W18" s="1329"/>
      <c r="X18" s="1322"/>
      <c r="Y18" s="3651"/>
      <c r="Z18" s="1330"/>
      <c r="AA18" s="1331">
        <v>1</v>
      </c>
      <c r="AB18" s="1331">
        <v>1</v>
      </c>
      <c r="AC18" s="1331">
        <v>1</v>
      </c>
    </row>
    <row r="19" spans="1:29" ht="40.5">
      <c r="A19" s="776"/>
      <c r="B19" s="978" t="s">
        <v>2198</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5"/>
      <c r="M19" s="2376"/>
      <c r="N19" s="2376"/>
      <c r="O19" s="2384"/>
      <c r="P19" s="3651"/>
      <c r="Q19" s="1327" t="str">
        <f t="shared" ref="Q19:Q33" si="8">B19</f>
        <v>区域土地利用方向</v>
      </c>
      <c r="R19" s="1328" t="s">
        <v>70</v>
      </c>
      <c r="S19" s="1329">
        <f>F19</f>
        <v>102</v>
      </c>
      <c r="T19" s="1328" t="s">
        <v>70</v>
      </c>
      <c r="U19" s="1329">
        <f>H19</f>
        <v>98</v>
      </c>
      <c r="V19" s="1328" t="s">
        <v>70</v>
      </c>
      <c r="W19" s="1329">
        <f>J19</f>
        <v>96</v>
      </c>
      <c r="X19" s="1322"/>
      <c r="Y19" s="3651"/>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5"/>
      <c r="M20" s="2376"/>
      <c r="N20" s="2376"/>
      <c r="O20" s="2384"/>
      <c r="P20" s="3651"/>
      <c r="Q20" s="1495"/>
      <c r="R20" s="1328"/>
      <c r="S20" s="1329"/>
      <c r="T20" s="1328"/>
      <c r="U20" s="1329"/>
      <c r="V20" s="1328"/>
      <c r="W20" s="1329"/>
      <c r="X20" s="1494"/>
      <c r="Y20" s="3651"/>
      <c r="Z20" s="1496"/>
      <c r="AA20" s="1331"/>
      <c r="AB20" s="1331"/>
      <c r="AC20" s="1331"/>
    </row>
    <row r="21" spans="1:29" ht="81">
      <c r="A21" s="751"/>
      <c r="B21" s="978" t="s">
        <v>739</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5"/>
      <c r="M21" s="2376"/>
      <c r="N21" s="2376"/>
      <c r="O21" s="2384"/>
      <c r="P21" s="3651"/>
      <c r="Q21" s="1327" t="str">
        <f t="shared" si="8"/>
        <v>环境状况</v>
      </c>
      <c r="R21" s="1328" t="s">
        <v>70</v>
      </c>
      <c r="S21" s="1329">
        <f>F21</f>
        <v>96</v>
      </c>
      <c r="T21" s="1328" t="s">
        <v>70</v>
      </c>
      <c r="U21" s="1329">
        <f>H21</f>
        <v>102</v>
      </c>
      <c r="V21" s="1328" t="s">
        <v>70</v>
      </c>
      <c r="W21" s="1329">
        <f>J21</f>
        <v>98</v>
      </c>
      <c r="X21" s="1322"/>
      <c r="Y21" s="3651"/>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5"/>
      <c r="M22" s="2376"/>
      <c r="N22" s="2376"/>
      <c r="O22" s="2384"/>
      <c r="P22" s="3651"/>
      <c r="Q22" s="1327"/>
      <c r="R22" s="1328"/>
      <c r="S22" s="1329"/>
      <c r="T22" s="1328"/>
      <c r="U22" s="1329"/>
      <c r="V22" s="1328"/>
      <c r="W22" s="1329"/>
      <c r="X22" s="1322"/>
      <c r="Y22" s="3651"/>
      <c r="Z22" s="1330"/>
      <c r="AA22" s="1331">
        <v>1</v>
      </c>
      <c r="AB22" s="1331">
        <v>1</v>
      </c>
      <c r="AC22" s="1331">
        <v>1</v>
      </c>
    </row>
    <row r="23" spans="1:29" s="412" customFormat="1" ht="40.5">
      <c r="A23" s="996"/>
      <c r="B23" s="1040" t="s">
        <v>3069</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7"/>
      <c r="M23" s="2378"/>
      <c r="N23" s="2378"/>
      <c r="O23" s="2379"/>
      <c r="P23" s="3651"/>
      <c r="Q23" s="302" t="str">
        <f t="shared" si="8"/>
        <v>公共配套设施</v>
      </c>
      <c r="R23" s="1323" t="s">
        <v>70</v>
      </c>
      <c r="S23" s="1324">
        <f>F23</f>
        <v>96</v>
      </c>
      <c r="T23" s="1323" t="s">
        <v>70</v>
      </c>
      <c r="U23" s="1324">
        <f>H23</f>
        <v>98</v>
      </c>
      <c r="V23" s="1323" t="s">
        <v>70</v>
      </c>
      <c r="W23" s="1324">
        <f>J23</f>
        <v>102</v>
      </c>
      <c r="X23" s="1325"/>
      <c r="Y23" s="3651"/>
      <c r="Z23" s="350" t="str">
        <f>Q23</f>
        <v>公共配套设施</v>
      </c>
      <c r="AA23" s="1331">
        <f>D23/F23</f>
        <v>1.0416666666666667</v>
      </c>
      <c r="AB23" s="1331">
        <f>D23/H23</f>
        <v>1.0204081632653061</v>
      </c>
      <c r="AC23" s="1331">
        <f>D23/J23</f>
        <v>0.98039215686274506</v>
      </c>
    </row>
    <row r="24" spans="1:29" s="412" customFormat="1" ht="15">
      <c r="A24" s="996"/>
      <c r="B24" s="979"/>
      <c r="C24" s="2811" t="s">
        <v>123</v>
      </c>
      <c r="D24" s="796"/>
      <c r="E24" s="192" t="s">
        <v>153</v>
      </c>
      <c r="F24" s="796"/>
      <c r="G24" s="192" t="s">
        <v>124</v>
      </c>
      <c r="H24" s="796"/>
      <c r="I24" s="97" t="s">
        <v>122</v>
      </c>
      <c r="J24" s="796"/>
      <c r="K24" s="1086"/>
      <c r="L24" s="2377"/>
      <c r="M24" s="2378"/>
      <c r="N24" s="2378"/>
      <c r="O24" s="2379"/>
      <c r="P24" s="3651"/>
      <c r="Q24" s="302"/>
      <c r="R24" s="1323"/>
      <c r="S24" s="1324"/>
      <c r="T24" s="1323"/>
      <c r="U24" s="1324"/>
      <c r="V24" s="1323"/>
      <c r="W24" s="1324"/>
      <c r="X24" s="1325"/>
      <c r="Y24" s="3651"/>
      <c r="Z24" s="350"/>
      <c r="AA24" s="1326">
        <v>1</v>
      </c>
      <c r="AB24" s="1326">
        <v>1</v>
      </c>
      <c r="AC24" s="1326">
        <v>1</v>
      </c>
    </row>
    <row r="25" spans="1:29" s="412" customFormat="1" ht="40.5">
      <c r="A25" s="996"/>
      <c r="B25" s="1040" t="s">
        <v>3070</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7"/>
      <c r="M25" s="2378"/>
      <c r="N25" s="2378"/>
      <c r="O25" s="2379"/>
      <c r="P25" s="3651"/>
      <c r="Q25" s="2780" t="str">
        <f t="shared" ref="Q25" si="9">B25</f>
        <v>基础设施水平</v>
      </c>
      <c r="R25" s="1323" t="s">
        <v>70</v>
      </c>
      <c r="S25" s="1324">
        <f>F25</f>
        <v>99</v>
      </c>
      <c r="T25" s="1323" t="s">
        <v>70</v>
      </c>
      <c r="U25" s="1324">
        <f>H25</f>
        <v>98</v>
      </c>
      <c r="V25" s="1323" t="s">
        <v>70</v>
      </c>
      <c r="W25" s="1324">
        <f>J25</f>
        <v>97</v>
      </c>
      <c r="X25" s="1325"/>
      <c r="Y25" s="3651"/>
      <c r="Z25" s="350" t="str">
        <f>Q25</f>
        <v>基础设施水平</v>
      </c>
      <c r="AA25" s="1331">
        <f>D25/F25</f>
        <v>1.0101010101010102</v>
      </c>
      <c r="AB25" s="1331">
        <f>D25/H25</f>
        <v>1.0204081632653061</v>
      </c>
      <c r="AC25" s="1331">
        <f>D25/J25</f>
        <v>1.0309278350515463</v>
      </c>
    </row>
    <row r="26" spans="1:29" s="412" customFormat="1" ht="15">
      <c r="A26" s="996"/>
      <c r="B26" s="979"/>
      <c r="C26" s="2811" t="s">
        <v>56</v>
      </c>
      <c r="D26" s="796"/>
      <c r="E26" s="1041" t="s">
        <v>161</v>
      </c>
      <c r="F26" s="796"/>
      <c r="G26" s="1041" t="s">
        <v>162</v>
      </c>
      <c r="H26" s="796"/>
      <c r="I26" s="1041" t="s">
        <v>257</v>
      </c>
      <c r="J26" s="796"/>
      <c r="K26" s="1086"/>
      <c r="L26" s="2377"/>
      <c r="M26" s="2378"/>
      <c r="N26" s="2378"/>
      <c r="O26" s="2379"/>
      <c r="P26" s="3651"/>
      <c r="Q26" s="2780"/>
      <c r="R26" s="1323"/>
      <c r="S26" s="1324"/>
      <c r="T26" s="1323"/>
      <c r="U26" s="1324"/>
      <c r="V26" s="1323"/>
      <c r="W26" s="1324"/>
      <c r="X26" s="1325"/>
      <c r="Y26" s="3651"/>
      <c r="Z26" s="350"/>
      <c r="AA26" s="1326">
        <v>1</v>
      </c>
      <c r="AB26" s="1326">
        <v>1</v>
      </c>
      <c r="AC26" s="1326">
        <v>1</v>
      </c>
    </row>
    <row r="27" spans="1:29" ht="15">
      <c r="A27" s="776"/>
      <c r="B27" s="979" t="s">
        <v>619</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5"/>
      <c r="M27" s="2376"/>
      <c r="N27" s="2376"/>
      <c r="O27" s="2384"/>
      <c r="P27" s="3651"/>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51"/>
      <c r="Z27" s="1330" t="str">
        <f t="shared" ref="Z27:Z40" si="13">Q27</f>
        <v>临街状况</v>
      </c>
      <c r="AA27" s="1331">
        <f t="shared" si="3"/>
        <v>1</v>
      </c>
      <c r="AB27" s="1331">
        <f t="shared" si="4"/>
        <v>1</v>
      </c>
      <c r="AC27" s="1331">
        <f t="shared" si="5"/>
        <v>1</v>
      </c>
    </row>
    <row r="28" spans="1:29" ht="27">
      <c r="A28" s="776"/>
      <c r="B28" s="980" t="s">
        <v>627</v>
      </c>
      <c r="C28" s="2812"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5"/>
      <c r="M28" s="2376"/>
      <c r="N28" s="2376"/>
      <c r="O28" s="2384"/>
      <c r="P28" s="3651"/>
      <c r="Q28" s="1327" t="str">
        <f t="shared" si="8"/>
        <v>毗邻道路的类型与等级</v>
      </c>
      <c r="R28" s="1328" t="s">
        <v>70</v>
      </c>
      <c r="S28" s="1329">
        <f t="shared" si="10"/>
        <v>100</v>
      </c>
      <c r="T28" s="1328" t="s">
        <v>70</v>
      </c>
      <c r="U28" s="1329">
        <f t="shared" si="11"/>
        <v>100</v>
      </c>
      <c r="V28" s="1328" t="s">
        <v>70</v>
      </c>
      <c r="W28" s="1329">
        <f t="shared" si="12"/>
        <v>100</v>
      </c>
      <c r="X28" s="1322"/>
      <c r="Y28" s="3651"/>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5"/>
      <c r="M29" s="2376"/>
      <c r="N29" s="2376"/>
      <c r="O29" s="2384"/>
      <c r="P29" s="3651"/>
      <c r="Q29" s="1327"/>
      <c r="R29" s="1328"/>
      <c r="S29" s="1329"/>
      <c r="T29" s="1328"/>
      <c r="U29" s="1329"/>
      <c r="V29" s="1328"/>
      <c r="W29" s="1329"/>
      <c r="X29" s="1322"/>
      <c r="Y29" s="3651"/>
      <c r="Z29" s="1330"/>
      <c r="AA29" s="1331">
        <v>1</v>
      </c>
      <c r="AB29" s="1331">
        <v>1</v>
      </c>
      <c r="AC29" s="1331">
        <v>1</v>
      </c>
    </row>
    <row r="30" spans="1:29" ht="15">
      <c r="A30" s="776"/>
      <c r="B30" s="1001" t="s">
        <v>702</v>
      </c>
      <c r="C30" s="2813" t="str">
        <f>估价对象房地状况!G23</f>
        <v>3级</v>
      </c>
      <c r="D30" s="783">
        <v>100</v>
      </c>
      <c r="E30" s="981" t="s">
        <v>740</v>
      </c>
      <c r="F30" s="783">
        <f>SUMIF(99:99,E30,100:100)-SUMIF(99:99,C30,100:100)+100</f>
        <v>100</v>
      </c>
      <c r="G30" s="981" t="s">
        <v>741</v>
      </c>
      <c r="H30" s="783">
        <f>SUMIF(99:99,G30,100:100)-SUMIF(99:99,C30,100:100)+100</f>
        <v>105</v>
      </c>
      <c r="I30" s="981" t="s">
        <v>741</v>
      </c>
      <c r="J30" s="783">
        <f>SUMIF(99:99,I30,100:100)-SUMIF(99:99,C30,100:100)+100</f>
        <v>105</v>
      </c>
      <c r="K30" s="959">
        <v>2.5</v>
      </c>
      <c r="L30" s="2385"/>
      <c r="M30" s="2376"/>
      <c r="N30" s="2376"/>
      <c r="O30" s="2384"/>
      <c r="P30" s="3651"/>
      <c r="Q30" s="1327" t="str">
        <f t="shared" si="8"/>
        <v>土地级别</v>
      </c>
      <c r="R30" s="1328" t="s">
        <v>70</v>
      </c>
      <c r="S30" s="1329">
        <f t="shared" si="10"/>
        <v>100</v>
      </c>
      <c r="T30" s="1328" t="s">
        <v>70</v>
      </c>
      <c r="U30" s="1329">
        <f t="shared" si="11"/>
        <v>105</v>
      </c>
      <c r="V30" s="1328" t="s">
        <v>70</v>
      </c>
      <c r="W30" s="1329">
        <f t="shared" si="12"/>
        <v>105</v>
      </c>
      <c r="X30" s="1322"/>
      <c r="Y30" s="3651"/>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5"/>
      <c r="M31" s="2376"/>
      <c r="N31" s="2376"/>
      <c r="O31" s="2384"/>
      <c r="P31" s="3651"/>
      <c r="Q31" s="1327">
        <f t="shared" si="8"/>
        <v>111</v>
      </c>
      <c r="R31" s="1328" t="s">
        <v>70</v>
      </c>
      <c r="S31" s="1329">
        <f t="shared" si="10"/>
        <v>99</v>
      </c>
      <c r="T31" s="1328" t="s">
        <v>70</v>
      </c>
      <c r="U31" s="1329">
        <f t="shared" si="11"/>
        <v>98</v>
      </c>
      <c r="V31" s="1328" t="s">
        <v>70</v>
      </c>
      <c r="W31" s="1329">
        <f t="shared" si="12"/>
        <v>97</v>
      </c>
      <c r="X31" s="1322"/>
      <c r="Y31" s="3651"/>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5"/>
      <c r="M32" s="2376"/>
      <c r="N32" s="2376"/>
      <c r="O32" s="2384"/>
      <c r="P32" s="3652" t="s">
        <v>582</v>
      </c>
      <c r="Q32" s="1327">
        <f t="shared" si="8"/>
        <v>111</v>
      </c>
      <c r="R32" s="1328" t="s">
        <v>70</v>
      </c>
      <c r="S32" s="1329">
        <f t="shared" si="10"/>
        <v>98</v>
      </c>
      <c r="T32" s="1328" t="s">
        <v>70</v>
      </c>
      <c r="U32" s="1329">
        <f t="shared" si="11"/>
        <v>96</v>
      </c>
      <c r="V32" s="1328" t="s">
        <v>70</v>
      </c>
      <c r="W32" s="1329">
        <f t="shared" si="12"/>
        <v>94</v>
      </c>
      <c r="X32" s="1322"/>
      <c r="Y32" s="3653" t="s">
        <v>582</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3"/>
      <c r="M33" s="2386"/>
      <c r="N33" s="2386"/>
      <c r="O33" s="2387"/>
      <c r="P33" s="3653"/>
      <c r="Q33" s="1327">
        <f t="shared" si="8"/>
        <v>111</v>
      </c>
      <c r="R33" s="1333" t="s">
        <v>70</v>
      </c>
      <c r="S33" s="1334">
        <f t="shared" si="10"/>
        <v>97</v>
      </c>
      <c r="T33" s="1333" t="s">
        <v>70</v>
      </c>
      <c r="U33" s="1334">
        <f t="shared" si="11"/>
        <v>94</v>
      </c>
      <c r="V33" s="1333" t="s">
        <v>70</v>
      </c>
      <c r="W33" s="1334">
        <f t="shared" si="12"/>
        <v>91</v>
      </c>
      <c r="X33" s="1335"/>
      <c r="Y33" s="3653"/>
      <c r="Z33" s="1336">
        <f t="shared" si="13"/>
        <v>111</v>
      </c>
      <c r="AA33" s="1331">
        <f t="shared" si="3"/>
        <v>1.0309278350515463</v>
      </c>
      <c r="AB33" s="1331">
        <f t="shared" si="4"/>
        <v>1.0638297872340425</v>
      </c>
      <c r="AC33" s="1331">
        <f t="shared" si="5"/>
        <v>1.098901098901099</v>
      </c>
    </row>
    <row r="34" spans="1:29" ht="15">
      <c r="A34" s="788" t="s">
        <v>3199</v>
      </c>
      <c r="B34" s="804" t="s">
        <v>703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5"/>
      <c r="M34" s="2376"/>
      <c r="N34" s="2376"/>
      <c r="O34" s="2384"/>
      <c r="P34" s="3653"/>
      <c r="Q34" s="1327" t="str">
        <f>B34</f>
        <v>宗地面积</v>
      </c>
      <c r="R34" s="1328" t="s">
        <v>70</v>
      </c>
      <c r="S34" s="1329">
        <f t="shared" si="10"/>
        <v>105</v>
      </c>
      <c r="T34" s="1328" t="s">
        <v>70</v>
      </c>
      <c r="U34" s="1329">
        <f t="shared" si="11"/>
        <v>105</v>
      </c>
      <c r="V34" s="1328" t="s">
        <v>70</v>
      </c>
      <c r="W34" s="1329">
        <f t="shared" si="12"/>
        <v>100</v>
      </c>
      <c r="X34" s="1322"/>
      <c r="Y34" s="3653"/>
      <c r="Z34" s="1330" t="str">
        <f t="shared" si="13"/>
        <v>宗地面积</v>
      </c>
      <c r="AA34" s="1331">
        <f t="shared" si="3"/>
        <v>0.95238095238095233</v>
      </c>
      <c r="AB34" s="1331">
        <f t="shared" si="4"/>
        <v>0.95238095238095233</v>
      </c>
      <c r="AC34" s="1331">
        <f t="shared" si="5"/>
        <v>1</v>
      </c>
    </row>
    <row r="35" spans="1:29" ht="15">
      <c r="A35" s="819"/>
      <c r="B35" s="770" t="s">
        <v>704</v>
      </c>
      <c r="C35" s="109" t="s">
        <v>57</v>
      </c>
      <c r="D35" s="783">
        <v>100</v>
      </c>
      <c r="E35" s="109" t="s">
        <v>57</v>
      </c>
      <c r="F35" s="783">
        <f>SUMIF(110:110,E35,111:111)-SUMIF(110:110,C35,111:111)+100</f>
        <v>100</v>
      </c>
      <c r="G35" s="109" t="s">
        <v>2426</v>
      </c>
      <c r="H35" s="783">
        <f>SUMIF(110:110,G35,111:111)-SUMIF(110:110,C35,111:111)+100</f>
        <v>98</v>
      </c>
      <c r="I35" s="109" t="s">
        <v>57</v>
      </c>
      <c r="J35" s="783">
        <f>SUMIF(110:110,I35,111:111)-SUMIF(110:110,C35,111:111)+100</f>
        <v>100</v>
      </c>
      <c r="K35" s="959">
        <v>2</v>
      </c>
      <c r="L35" s="2385"/>
      <c r="M35" s="2376"/>
      <c r="N35" s="2376"/>
      <c r="O35" s="2384"/>
      <c r="P35" s="3653"/>
      <c r="Q35" s="1327" t="str">
        <f t="shared" ref="Q35:Q40" si="14">B35</f>
        <v>宗地形状</v>
      </c>
      <c r="R35" s="1328" t="s">
        <v>70</v>
      </c>
      <c r="S35" s="1329">
        <f t="shared" si="10"/>
        <v>100</v>
      </c>
      <c r="T35" s="1328" t="s">
        <v>70</v>
      </c>
      <c r="U35" s="1329">
        <f t="shared" si="11"/>
        <v>98</v>
      </c>
      <c r="V35" s="1328" t="s">
        <v>70</v>
      </c>
      <c r="W35" s="1329">
        <f t="shared" si="12"/>
        <v>100</v>
      </c>
      <c r="X35" s="1322"/>
      <c r="Y35" s="3653"/>
      <c r="Z35" s="1330" t="str">
        <f t="shared" si="13"/>
        <v>宗地形状</v>
      </c>
      <c r="AA35" s="1331">
        <f t="shared" si="3"/>
        <v>1</v>
      </c>
      <c r="AB35" s="1331">
        <f t="shared" si="4"/>
        <v>1.0204081632653061</v>
      </c>
      <c r="AC35" s="1331">
        <f t="shared" si="5"/>
        <v>1</v>
      </c>
    </row>
    <row r="36" spans="1:29" s="412" customFormat="1" ht="15">
      <c r="A36" s="820"/>
      <c r="B36" s="2645" t="s">
        <v>2899</v>
      </c>
      <c r="C36" s="1047" t="s">
        <v>2171</v>
      </c>
      <c r="D36" s="430">
        <v>100</v>
      </c>
      <c r="E36" s="1047" t="s">
        <v>2893</v>
      </c>
      <c r="F36" s="783">
        <f>SUMIF(112:112,E36,113:113)-SUMIF(112:112,C36,113:113)+100</f>
        <v>98</v>
      </c>
      <c r="G36" s="1047" t="s">
        <v>2893</v>
      </c>
      <c r="H36" s="783">
        <f>SUMIF(112:112,G36,113:113)-SUMIF(112:112,C36,113:113)+100</f>
        <v>98</v>
      </c>
      <c r="I36" s="1047" t="s">
        <v>2893</v>
      </c>
      <c r="J36" s="783">
        <f>SUMIF(112:112,I36,113:113)-SUMIF(112:112,C36,113:113)+100</f>
        <v>98</v>
      </c>
      <c r="K36" s="959">
        <v>2</v>
      </c>
      <c r="L36" s="2377"/>
      <c r="M36" s="2378"/>
      <c r="N36" s="2378"/>
      <c r="O36" s="2379"/>
      <c r="P36" s="3653"/>
      <c r="Q36" s="1327" t="str">
        <f t="shared" si="14"/>
        <v>宗地开发程度</v>
      </c>
      <c r="R36" s="1323" t="s">
        <v>70</v>
      </c>
      <c r="S36" s="1324">
        <f t="shared" si="10"/>
        <v>98</v>
      </c>
      <c r="T36" s="1323" t="s">
        <v>70</v>
      </c>
      <c r="U36" s="1324">
        <f t="shared" si="11"/>
        <v>98</v>
      </c>
      <c r="V36" s="1323" t="s">
        <v>70</v>
      </c>
      <c r="W36" s="1324">
        <f t="shared" si="12"/>
        <v>98</v>
      </c>
      <c r="X36" s="1325"/>
      <c r="Y36" s="3653"/>
      <c r="Z36" s="350" t="str">
        <f t="shared" si="13"/>
        <v>宗地开发程度</v>
      </c>
      <c r="AA36" s="1326">
        <f t="shared" si="3"/>
        <v>1.0204081632653061</v>
      </c>
      <c r="AB36" s="1326">
        <f t="shared" si="4"/>
        <v>1.0204081632653061</v>
      </c>
      <c r="AC36" s="1326">
        <f t="shared" si="5"/>
        <v>1.0204081632653061</v>
      </c>
    </row>
    <row r="37" spans="1:29" ht="15">
      <c r="A37" s="819"/>
      <c r="B37" s="770" t="s">
        <v>706</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5"/>
      <c r="M37" s="2376"/>
      <c r="N37" s="2376"/>
      <c r="O37" s="2384"/>
      <c r="P37" s="3653" t="s">
        <v>742</v>
      </c>
      <c r="Q37" s="1327" t="str">
        <f t="shared" si="14"/>
        <v>工程地质条件</v>
      </c>
      <c r="R37" s="1328" t="s">
        <v>70</v>
      </c>
      <c r="S37" s="1329">
        <f t="shared" si="10"/>
        <v>100</v>
      </c>
      <c r="T37" s="1328" t="s">
        <v>70</v>
      </c>
      <c r="U37" s="1329">
        <f t="shared" si="11"/>
        <v>97</v>
      </c>
      <c r="V37" s="1328" t="s">
        <v>70</v>
      </c>
      <c r="W37" s="1329">
        <f t="shared" si="12"/>
        <v>100</v>
      </c>
      <c r="X37" s="1322"/>
      <c r="Y37" s="3653" t="s">
        <v>742</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5"/>
      <c r="M38" s="2376"/>
      <c r="N38" s="2376"/>
      <c r="O38" s="2384"/>
      <c r="P38" s="3653"/>
      <c r="Q38" s="1327">
        <f t="shared" si="14"/>
        <v>111</v>
      </c>
      <c r="R38" s="1328" t="s">
        <v>70</v>
      </c>
      <c r="S38" s="1329">
        <f t="shared" si="10"/>
        <v>99</v>
      </c>
      <c r="T38" s="1328" t="s">
        <v>70</v>
      </c>
      <c r="U38" s="1329">
        <f t="shared" si="11"/>
        <v>98</v>
      </c>
      <c r="V38" s="1328" t="s">
        <v>70</v>
      </c>
      <c r="W38" s="1329">
        <f t="shared" si="12"/>
        <v>97</v>
      </c>
      <c r="X38" s="1322"/>
      <c r="Y38" s="3653"/>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5"/>
      <c r="M39" s="2376"/>
      <c r="N39" s="2376"/>
      <c r="O39" s="2384"/>
      <c r="P39" s="3653"/>
      <c r="Q39" s="1327">
        <f t="shared" si="14"/>
        <v>111</v>
      </c>
      <c r="R39" s="1328" t="s">
        <v>70</v>
      </c>
      <c r="S39" s="1329">
        <f t="shared" si="10"/>
        <v>98</v>
      </c>
      <c r="T39" s="1328" t="s">
        <v>70</v>
      </c>
      <c r="U39" s="1329">
        <f t="shared" si="11"/>
        <v>96</v>
      </c>
      <c r="V39" s="1328" t="s">
        <v>70</v>
      </c>
      <c r="W39" s="1329">
        <f t="shared" si="12"/>
        <v>94</v>
      </c>
      <c r="X39" s="1322"/>
      <c r="Y39" s="3653"/>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3"/>
      <c r="M40" s="2386"/>
      <c r="N40" s="2386"/>
      <c r="O40" s="2387"/>
      <c r="P40" s="3653"/>
      <c r="Q40" s="1327">
        <f t="shared" si="14"/>
        <v>111</v>
      </c>
      <c r="R40" s="1333" t="s">
        <v>70</v>
      </c>
      <c r="S40" s="1334">
        <f t="shared" si="10"/>
        <v>97</v>
      </c>
      <c r="T40" s="1333" t="s">
        <v>70</v>
      </c>
      <c r="U40" s="1334">
        <f t="shared" si="11"/>
        <v>94</v>
      </c>
      <c r="V40" s="1333" t="s">
        <v>70</v>
      </c>
      <c r="W40" s="1334">
        <f t="shared" si="12"/>
        <v>91</v>
      </c>
      <c r="X40" s="1335"/>
      <c r="Y40" s="3653"/>
      <c r="Z40" s="1336">
        <f t="shared" si="13"/>
        <v>111</v>
      </c>
      <c r="AA40" s="1331">
        <f t="shared" si="3"/>
        <v>1.0309278350515463</v>
      </c>
      <c r="AB40" s="1331">
        <f t="shared" si="4"/>
        <v>1.0638297872340425</v>
      </c>
      <c r="AC40" s="1331">
        <f t="shared" si="5"/>
        <v>1.098901098901099</v>
      </c>
    </row>
    <row r="41" spans="1:29" ht="15">
      <c r="A41" s="826" t="s">
        <v>707</v>
      </c>
      <c r="B41" s="207" t="s">
        <v>2801</v>
      </c>
      <c r="C41" s="1096" t="s">
        <v>23</v>
      </c>
      <c r="D41" s="828"/>
      <c r="E41" s="829">
        <v>5000</v>
      </c>
      <c r="F41" s="830"/>
      <c r="G41" s="831">
        <v>4250</v>
      </c>
      <c r="H41" s="832"/>
      <c r="I41" s="829">
        <v>5100</v>
      </c>
      <c r="J41" s="832"/>
      <c r="K41" s="1404"/>
      <c r="L41" s="2388"/>
      <c r="M41" s="2376"/>
      <c r="N41" s="2376"/>
      <c r="O41" s="2389"/>
      <c r="P41" s="3635" t="str">
        <f>A41</f>
        <v>成交单价</v>
      </c>
      <c r="Q41" s="3635"/>
      <c r="R41" s="3648">
        <f>E41</f>
        <v>5000</v>
      </c>
      <c r="S41" s="3648"/>
      <c r="T41" s="3648">
        <f>G41</f>
        <v>4250</v>
      </c>
      <c r="U41" s="3648"/>
      <c r="V41" s="3648">
        <f>I41</f>
        <v>5100</v>
      </c>
      <c r="W41" s="3648"/>
      <c r="X41" s="1311"/>
      <c r="Y41" s="1337"/>
      <c r="Z41" s="1311"/>
      <c r="AA41" s="1311"/>
      <c r="AB41" s="1311"/>
      <c r="AC41" s="1311"/>
    </row>
    <row r="42" spans="1:29" ht="15.75" thickBot="1">
      <c r="A42" s="833" t="s">
        <v>584</v>
      </c>
      <c r="B42" s="1097"/>
      <c r="C42" s="837" t="e">
        <f>R43</f>
        <v>#DIV/0!</v>
      </c>
      <c r="D42" s="836"/>
      <c r="E42" s="837">
        <f>R42</f>
        <v>6288</v>
      </c>
      <c r="F42" s="838"/>
      <c r="G42" s="835" t="e">
        <f>T42</f>
        <v>#DIV/0!</v>
      </c>
      <c r="H42" s="836"/>
      <c r="I42" s="837">
        <f>V42</f>
        <v>9142</v>
      </c>
      <c r="J42" s="836"/>
      <c r="K42" s="1405"/>
      <c r="L42" s="2388"/>
      <c r="M42" s="2376"/>
      <c r="N42" s="2376"/>
      <c r="O42" s="2389"/>
      <c r="P42" s="3635" t="str">
        <f>A42</f>
        <v>比较价值（元/平方米）</v>
      </c>
      <c r="Q42" s="3635"/>
      <c r="R42" s="3654">
        <f>ROUND(PRODUCT(R41,AA7:AA40),0)</f>
        <v>6288</v>
      </c>
      <c r="S42" s="3654"/>
      <c r="T42" s="3654" t="e">
        <f>ROUND(PRODUCT(T41,AB7:AB40),0)</f>
        <v>#DIV/0!</v>
      </c>
      <c r="U42" s="3654"/>
      <c r="V42" s="3654">
        <f>ROUND(PRODUCT(V41,AC7:AC40),0)</f>
        <v>9142</v>
      </c>
      <c r="W42" s="3654"/>
      <c r="X42" s="1311"/>
      <c r="Y42" s="1311"/>
      <c r="Z42" s="1311"/>
      <c r="AA42" s="1311"/>
      <c r="AB42" s="1311"/>
      <c r="AC42" s="1311"/>
    </row>
    <row r="43" spans="1:29" ht="15.75" thickBot="1">
      <c r="A43" s="115" t="s">
        <v>736</v>
      </c>
      <c r="B43" s="840"/>
      <c r="C43" s="841" t="e">
        <f>R43</f>
        <v>#DIV/0!</v>
      </c>
      <c r="D43" s="841"/>
      <c r="E43" s="841"/>
      <c r="F43" s="841"/>
      <c r="G43" s="841"/>
      <c r="H43" s="841"/>
      <c r="I43" s="841"/>
      <c r="J43" s="841"/>
      <c r="K43" s="1406"/>
      <c r="L43" s="2388"/>
      <c r="M43" s="2376"/>
      <c r="N43" s="2376"/>
      <c r="O43" s="2389"/>
      <c r="P43" s="3655" t="str">
        <f>A43</f>
        <v>估价对象XX用房的比较价值（楼面单价，元/平方米）</v>
      </c>
      <c r="Q43" s="3656"/>
      <c r="R43" s="3657" t="e">
        <f>ROUND(AVERAGE(R42:V42),0)</f>
        <v>#DIV/0!</v>
      </c>
      <c r="S43" s="3657"/>
      <c r="T43" s="3657"/>
      <c r="U43" s="3657"/>
      <c r="V43" s="3657"/>
      <c r="W43" s="3657"/>
      <c r="X43" s="1311"/>
      <c r="Y43" s="1311"/>
      <c r="Z43" s="1311"/>
      <c r="AA43" s="1311"/>
      <c r="AB43" s="1311"/>
      <c r="AC43" s="1311"/>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4" t="s">
        <v>586</v>
      </c>
      <c r="D46" s="845"/>
      <c r="E46" s="846">
        <f>IF(E41&lt;E42,E42/E41-1,E41/E42-1)</f>
        <v>0.25760000000000005</v>
      </c>
      <c r="F46" s="847" t="str">
        <f>IF(OR(E46&gt;=0.3,E46&lt;=-0.3),"超过30%","")</f>
        <v/>
      </c>
      <c r="G46" s="846" t="e">
        <f>IF(G41&lt;G42,G42/G41-1,G41/G42-1)</f>
        <v>#DIV/0!</v>
      </c>
      <c r="H46" s="847" t="e">
        <f>IF(OR(G46&gt;=0.3,G46&lt;=-0.3),"超过30%","")</f>
        <v>#DIV/0!</v>
      </c>
      <c r="I46" s="846">
        <f>IF(I41&lt;I42,I42/I41-1,I41/I42-1)</f>
        <v>0.79254901960784307</v>
      </c>
      <c r="J46" s="847" t="str">
        <f>IF(OR(I46&gt;=0.3,I46&lt;=-0.3),"超过30%","")</f>
        <v>超过30%</v>
      </c>
      <c r="K46" s="2211"/>
      <c r="L46" s="2212"/>
      <c r="M46" s="2376"/>
      <c r="N46" s="2376"/>
      <c r="O46" s="2389"/>
    </row>
    <row r="47" spans="1:29" ht="13.5" customHeight="1">
      <c r="A47" s="2389"/>
      <c r="B47" s="2389"/>
      <c r="C47" s="844" t="s">
        <v>587</v>
      </c>
      <c r="D47" s="848"/>
      <c r="E47" s="846" t="e">
        <f>IF(E42&lt;G42,G42/E42-1,E42/G42-1)</f>
        <v>#DIV/0!</v>
      </c>
      <c r="F47" s="847" t="e">
        <f>IF(OR(E47&gt;=0.2,E47&lt;=-0.2),"超过20%","")</f>
        <v>#DIV/0!</v>
      </c>
      <c r="G47" s="846" t="e">
        <f>IF(G42&lt;I42,I42/G42-1,G42/I42-1)</f>
        <v>#DIV/0!</v>
      </c>
      <c r="H47" s="847" t="e">
        <f>IF(OR(G47&gt;=0.2,G47&lt;=-0.2),"超过20%","")</f>
        <v>#DIV/0!</v>
      </c>
      <c r="I47" s="846">
        <f>IF(I42&lt;E42,E42/I42-1,I42/E42-1)</f>
        <v>0.45388040712468203</v>
      </c>
      <c r="J47" s="847" t="str">
        <f>IF(OR(I47&gt;=0.2,I47&lt;=-0.2),"超过20%","")</f>
        <v>超过20%</v>
      </c>
      <c r="K47" s="2211"/>
      <c r="L47" s="2212"/>
      <c r="M47" s="2389"/>
      <c r="N47" s="2389"/>
      <c r="O47" s="2389"/>
    </row>
    <row r="48" spans="1:29" s="849" customFormat="1" ht="13.5" customHeight="1">
      <c r="A48" s="2390"/>
      <c r="B48" s="2390"/>
      <c r="C48" s="844" t="s">
        <v>588</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3"/>
      <c r="L48" s="2394"/>
      <c r="M48" s="2390"/>
      <c r="N48" s="2390"/>
      <c r="O48" s="2390"/>
    </row>
    <row r="49" spans="1:17" s="849" customFormat="1" ht="15" thickBot="1">
      <c r="A49" s="2390"/>
      <c r="B49" s="2391"/>
      <c r="C49" s="1314"/>
      <c r="D49" s="1312"/>
      <c r="E49" s="1312"/>
      <c r="F49" s="1312"/>
      <c r="G49" s="1312"/>
      <c r="H49" s="1312"/>
      <c r="I49" s="1312"/>
      <c r="J49" s="1312"/>
      <c r="K49" s="2393"/>
      <c r="L49" s="2394"/>
      <c r="M49" s="2390"/>
      <c r="N49" s="2390"/>
      <c r="O49" s="2390"/>
    </row>
    <row r="50" spans="1:17" ht="27">
      <c r="A50" s="1098" t="s">
        <v>708</v>
      </c>
      <c r="B50" s="1099" t="s">
        <v>709</v>
      </c>
      <c r="C50" s="1799" t="s">
        <v>2240</v>
      </c>
      <c r="D50" s="2420" t="s">
        <v>2693</v>
      </c>
      <c r="E50" s="1100" t="s">
        <v>710</v>
      </c>
      <c r="F50" s="1101" t="s">
        <v>711</v>
      </c>
      <c r="G50" s="3658" t="s">
        <v>2686</v>
      </c>
      <c r="H50" s="3659"/>
      <c r="I50" s="2206" t="s">
        <v>2239</v>
      </c>
      <c r="J50" s="1789" t="str">
        <f>项目基本情况!F35</f>
        <v>河南省郑州市</v>
      </c>
      <c r="K50" s="2403" t="s">
        <v>2241</v>
      </c>
      <c r="L50" s="2212"/>
      <c r="M50" s="2389"/>
      <c r="N50" s="2389"/>
      <c r="O50" s="2389"/>
    </row>
    <row r="51" spans="1:17" s="1106" customFormat="1">
      <c r="A51" s="1102" t="s">
        <v>712</v>
      </c>
      <c r="B51" s="1103" t="e">
        <f>C43</f>
        <v>#DIV/0!</v>
      </c>
      <c r="C51" s="1104">
        <v>1</v>
      </c>
      <c r="D51" s="2421">
        <v>1</v>
      </c>
      <c r="E51" s="1104">
        <f>'数据-汇总表'!E8+'数据-汇总表'!E9</f>
        <v>144992.93</v>
      </c>
      <c r="F51" s="1105" t="e">
        <f t="shared" ref="F51:F60" si="15">ROUND(B51*E51/10000,0)</f>
        <v>#DIV/0!</v>
      </c>
      <c r="G51" s="3660"/>
      <c r="H51" s="3661"/>
      <c r="I51" s="1797">
        <v>1</v>
      </c>
      <c r="J51" s="1797">
        <v>1</v>
      </c>
      <c r="K51" s="2390"/>
      <c r="L51" s="1796"/>
      <c r="M51" s="1796"/>
      <c r="N51" s="1796"/>
      <c r="O51" s="1796"/>
    </row>
    <row r="52" spans="1:17" s="1106" customFormat="1">
      <c r="A52" s="1107" t="s">
        <v>713</v>
      </c>
      <c r="B52" s="598" t="e">
        <f>ROUND($C$43*C52*D52,0)</f>
        <v>#DIV/0!</v>
      </c>
      <c r="C52" s="536">
        <f t="shared" ref="C52:C60" si="16">IF($C$50="北京市系数",I52,J52)</f>
        <v>0.6</v>
      </c>
      <c r="D52" s="2422">
        <v>0.25</v>
      </c>
      <c r="E52" s="1108">
        <v>0</v>
      </c>
      <c r="F52" s="1105" t="e">
        <f t="shared" si="15"/>
        <v>#DIV/0!</v>
      </c>
      <c r="G52" s="3662" t="s">
        <v>2687</v>
      </c>
      <c r="H52" s="2210" t="str">
        <f>项目基本情况!B37</f>
        <v>八级</v>
      </c>
      <c r="I52" s="1797">
        <f>SUMIF(修正!A45:A56,H52,修正!B45:B56)</f>
        <v>0.6</v>
      </c>
      <c r="J52" s="1798"/>
      <c r="K52" s="2389"/>
      <c r="L52" s="1796"/>
      <c r="M52" s="1796"/>
      <c r="N52" s="1796"/>
      <c r="O52" s="1796"/>
    </row>
    <row r="53" spans="1:17" s="1106" customFormat="1">
      <c r="A53" s="1107" t="s">
        <v>714</v>
      </c>
      <c r="B53" s="598" t="e">
        <f t="shared" ref="B53:B60" si="17">ROUND($C$43*C53*D53,0)</f>
        <v>#DIV/0!</v>
      </c>
      <c r="C53" s="536">
        <f t="shared" si="16"/>
        <v>0.3</v>
      </c>
      <c r="D53" s="2422">
        <v>0.25</v>
      </c>
      <c r="E53" s="1108">
        <v>0</v>
      </c>
      <c r="F53" s="1105" t="e">
        <f t="shared" si="15"/>
        <v>#DIV/0!</v>
      </c>
      <c r="G53" s="3662"/>
      <c r="H53" s="2210" t="str">
        <f>项目基本情况!B37</f>
        <v>八级</v>
      </c>
      <c r="I53" s="1797">
        <f>SUMIF(修正!A45:A56,H53,修正!C45:C56)</f>
        <v>0.3</v>
      </c>
      <c r="J53" s="1798"/>
      <c r="K53" s="2390"/>
      <c r="L53" s="1796"/>
      <c r="M53" s="1796"/>
      <c r="N53" s="1796"/>
      <c r="O53" s="1796"/>
    </row>
    <row r="54" spans="1:17" s="1106" customFormat="1">
      <c r="A54" s="1107" t="s">
        <v>715</v>
      </c>
      <c r="B54" s="598" t="e">
        <f t="shared" si="17"/>
        <v>#DIV/0!</v>
      </c>
      <c r="C54" s="536">
        <f t="shared" si="16"/>
        <v>0.2</v>
      </c>
      <c r="D54" s="2422">
        <v>0.25</v>
      </c>
      <c r="E54" s="1108">
        <v>0</v>
      </c>
      <c r="F54" s="1105" t="e">
        <f t="shared" si="15"/>
        <v>#DIV/0!</v>
      </c>
      <c r="G54" s="3662"/>
      <c r="H54" s="2210" t="str">
        <f>项目基本情况!B37</f>
        <v>八级</v>
      </c>
      <c r="I54" s="1797">
        <f>SUMIF(修正!A45:A56,H54,修正!D45:D56)</f>
        <v>0.2</v>
      </c>
      <c r="J54" s="1798"/>
      <c r="K54" s="2389"/>
      <c r="L54" s="1796"/>
      <c r="M54" s="1796"/>
      <c r="N54" s="1796"/>
      <c r="O54" s="1796"/>
    </row>
    <row r="55" spans="1:17" s="1106" customFormat="1">
      <c r="A55" s="1107" t="s">
        <v>716</v>
      </c>
      <c r="B55" s="598" t="e">
        <f t="shared" si="17"/>
        <v>#DIV/0!</v>
      </c>
      <c r="C55" s="536">
        <f t="shared" si="16"/>
        <v>0.2</v>
      </c>
      <c r="D55" s="2422">
        <v>0.25</v>
      </c>
      <c r="E55" s="1108">
        <v>0</v>
      </c>
      <c r="F55" s="1105" t="e">
        <f t="shared" si="15"/>
        <v>#DIV/0!</v>
      </c>
      <c r="G55" s="3662"/>
      <c r="H55" s="2210" t="str">
        <f>项目基本情况!B37</f>
        <v>八级</v>
      </c>
      <c r="I55" s="1797">
        <f>SUMIF(修正!A45:A56,H55,修正!E45:E56)</f>
        <v>0.2</v>
      </c>
      <c r="J55" s="1798"/>
      <c r="K55" s="2390"/>
      <c r="L55" s="1796"/>
      <c r="M55" s="1796"/>
      <c r="N55" s="1796"/>
      <c r="O55" s="1796"/>
    </row>
    <row r="56" spans="1:17" s="1106" customFormat="1">
      <c r="A56" s="2543" t="s">
        <v>2776</v>
      </c>
      <c r="B56" s="598" t="e">
        <f t="shared" si="17"/>
        <v>#DIV/0!</v>
      </c>
      <c r="C56" s="536">
        <f t="shared" si="16"/>
        <v>0.2</v>
      </c>
      <c r="D56" s="2422">
        <v>0.25</v>
      </c>
      <c r="E56" s="597">
        <f>'数据-汇总表'!E11</f>
        <v>0</v>
      </c>
      <c r="F56" s="1105" t="e">
        <f t="shared" si="15"/>
        <v>#DIV/0!</v>
      </c>
      <c r="G56" s="2222" t="s">
        <v>2688</v>
      </c>
      <c r="H56" s="2210" t="str">
        <f>项目基本情况!C37</f>
        <v>八级</v>
      </c>
      <c r="I56" s="1797">
        <f>SUMIF(修正!A45:A56,H56,修正!F45:F56)</f>
        <v>0.2</v>
      </c>
      <c r="J56" s="1798"/>
      <c r="K56" s="2389"/>
      <c r="L56" s="1796"/>
      <c r="M56" s="1796"/>
      <c r="N56" s="1796"/>
      <c r="O56" s="1796"/>
    </row>
    <row r="57" spans="1:17" s="1106" customFormat="1">
      <c r="A57" s="1107" t="s">
        <v>717</v>
      </c>
      <c r="B57" s="598" t="e">
        <f t="shared" si="17"/>
        <v>#DIV/0!</v>
      </c>
      <c r="C57" s="536">
        <f t="shared" si="16"/>
        <v>0.2</v>
      </c>
      <c r="D57" s="2422">
        <v>0.25</v>
      </c>
      <c r="E57" s="597">
        <f>'数据-汇总表'!E12</f>
        <v>0</v>
      </c>
      <c r="F57" s="1105" t="e">
        <f t="shared" si="15"/>
        <v>#DIV/0!</v>
      </c>
      <c r="G57" s="2216" t="s">
        <v>209</v>
      </c>
      <c r="H57" s="2210" t="str">
        <f>IF(G57="商业",项目基本情况!B37,IF(G57="办公",项目基本情况!C37,IF(G57="住宅",项目基本情况!D37,项目基本情况!E37)))</f>
        <v>八级</v>
      </c>
      <c r="I57" s="1797">
        <f>SUMIF(修正!A45:A56,H57,修正!G45:G56)</f>
        <v>0.2</v>
      </c>
      <c r="J57" s="1798"/>
      <c r="K57" s="2390"/>
      <c r="L57" s="1796"/>
      <c r="M57" s="1796"/>
      <c r="N57" s="1796"/>
      <c r="O57" s="1796"/>
    </row>
    <row r="58" spans="1:17" s="1106" customFormat="1">
      <c r="A58" s="1107" t="s">
        <v>718</v>
      </c>
      <c r="B58" s="598" t="e">
        <f t="shared" si="17"/>
        <v>#DIV/0!</v>
      </c>
      <c r="C58" s="536">
        <f t="shared" si="16"/>
        <v>0.15</v>
      </c>
      <c r="D58" s="2422">
        <v>0.25</v>
      </c>
      <c r="E58" s="597">
        <f>'数据-汇总表'!E13</f>
        <v>0</v>
      </c>
      <c r="F58" s="1105" t="e">
        <f t="shared" si="15"/>
        <v>#DIV/0!</v>
      </c>
      <c r="G58" s="2216" t="s">
        <v>40</v>
      </c>
      <c r="H58" s="2210" t="str">
        <f>IF(G58="商业",项目基本情况!B37,IF(G58="办公",项目基本情况!C37,IF(G58="住宅",项目基本情况!D37,项目基本情况!E37)))</f>
        <v>八级</v>
      </c>
      <c r="I58" s="1797">
        <f>SUMIF(修正!A45:A56,H58,修正!H45:H56)</f>
        <v>0.15</v>
      </c>
      <c r="J58" s="1798"/>
      <c r="K58" s="2389"/>
      <c r="L58" s="1796"/>
      <c r="M58" s="1796"/>
      <c r="N58" s="1796"/>
      <c r="O58" s="1796"/>
    </row>
    <row r="59" spans="1:17" s="1106" customFormat="1">
      <c r="A59" s="1107" t="s">
        <v>719</v>
      </c>
      <c r="B59" s="598" t="e">
        <f t="shared" si="17"/>
        <v>#DIV/0!</v>
      </c>
      <c r="C59" s="536">
        <f t="shared" si="16"/>
        <v>0.15</v>
      </c>
      <c r="D59" s="2422">
        <v>0.25</v>
      </c>
      <c r="E59" s="597">
        <f>'数据-汇总表'!E14</f>
        <v>0</v>
      </c>
      <c r="F59" s="1105" t="e">
        <f t="shared" si="15"/>
        <v>#DIV/0!</v>
      </c>
      <c r="G59" s="2222" t="s">
        <v>2689</v>
      </c>
      <c r="H59" s="2210" t="str">
        <f>项目基本情况!B37</f>
        <v>八级</v>
      </c>
      <c r="I59" s="1797">
        <f>SUMIF(修正!A45:A56,H59,修正!H45:H56)</f>
        <v>0.15</v>
      </c>
      <c r="J59" s="1798"/>
      <c r="K59" s="2390"/>
      <c r="L59" s="1796"/>
      <c r="M59" s="1796"/>
      <c r="N59" s="1796"/>
      <c r="O59" s="1796"/>
    </row>
    <row r="60" spans="1:17" s="1106" customFormat="1" ht="15" thickBot="1">
      <c r="A60" s="1107" t="s">
        <v>720</v>
      </c>
      <c r="B60" s="598" t="e">
        <f t="shared" si="17"/>
        <v>#DIV/0!</v>
      </c>
      <c r="C60" s="536">
        <f t="shared" si="16"/>
        <v>0.15</v>
      </c>
      <c r="D60" s="2422">
        <v>0.25</v>
      </c>
      <c r="E60" s="597">
        <f>'数据-汇总表'!E15</f>
        <v>0</v>
      </c>
      <c r="F60" s="1105" t="e">
        <f t="shared" si="15"/>
        <v>#DIV/0!</v>
      </c>
      <c r="G60" s="2223" t="s">
        <v>2688</v>
      </c>
      <c r="H60" s="2224" t="str">
        <f>项目基本情况!C37</f>
        <v>八级</v>
      </c>
      <c r="I60" s="1797">
        <f>SUMIF(修正!A45:A56,H60,修正!H45:H56)</f>
        <v>0.15</v>
      </c>
      <c r="J60" s="1798"/>
      <c r="K60" s="2389"/>
      <c r="L60" s="1796"/>
      <c r="M60" s="1796"/>
      <c r="N60" s="1796"/>
      <c r="O60" s="1796"/>
    </row>
    <row r="61" spans="1:17" s="1106" customFormat="1" ht="15" thickBot="1">
      <c r="A61" s="1109" t="s">
        <v>721</v>
      </c>
      <c r="B61" s="1110" t="s">
        <v>262</v>
      </c>
      <c r="C61" s="1110" t="s">
        <v>263</v>
      </c>
      <c r="D61" s="1110" t="s">
        <v>2694</v>
      </c>
      <c r="E61" s="1110">
        <f>IF(B41="楼面地价",SUM(E51:E60),'数据-汇总表'!D3)</f>
        <v>24814.06</v>
      </c>
      <c r="F61" s="1111" t="e">
        <f>IF(B41="楼面地价",SUM(F51:F60),ROUND(C43*E61/10000,0))</f>
        <v>#DIV/0!</v>
      </c>
      <c r="G61" s="2404"/>
      <c r="H61" s="2404"/>
      <c r="I61" s="2404"/>
      <c r="J61" s="2404"/>
      <c r="K61" s="2211"/>
      <c r="L61" s="1796"/>
      <c r="M61" s="1796"/>
      <c r="N61" s="1796"/>
      <c r="O61" s="1796"/>
    </row>
    <row r="62" spans="1:17">
      <c r="A62" s="2389"/>
      <c r="B62" s="2391"/>
      <c r="C62" s="2395"/>
      <c r="D62" s="2389"/>
      <c r="E62" s="2389"/>
      <c r="F62" s="2389"/>
      <c r="G62" s="2389"/>
      <c r="H62" s="2389"/>
      <c r="I62" s="2389"/>
      <c r="J62" s="2389"/>
      <c r="K62" s="2211"/>
      <c r="L62" s="2212"/>
      <c r="M62" s="2389"/>
      <c r="N62" s="2389"/>
      <c r="O62" s="2389"/>
    </row>
    <row r="63" spans="1:17">
      <c r="A63" s="2389"/>
      <c r="B63" s="2391"/>
      <c r="C63" s="1313" t="str">
        <f>YEAR(C7)&amp;"-"&amp;MONTH(C7)&amp;"-1"</f>
        <v>2017-8-1</v>
      </c>
      <c r="D63" s="1313">
        <f>EDATE(C63,-3)</f>
        <v>42856</v>
      </c>
      <c r="E63" s="1313">
        <f>EDATE(D63,-3)</f>
        <v>42767</v>
      </c>
      <c r="F63" s="1313">
        <f t="shared" ref="F63:O63" si="18">EDATE(E63,-3)</f>
        <v>42675</v>
      </c>
      <c r="G63" s="1313">
        <f t="shared" si="18"/>
        <v>42583</v>
      </c>
      <c r="H63" s="1313">
        <f t="shared" si="18"/>
        <v>42491</v>
      </c>
      <c r="I63" s="1313">
        <f t="shared" si="18"/>
        <v>42401</v>
      </c>
      <c r="J63" s="1313">
        <f t="shared" si="18"/>
        <v>42309</v>
      </c>
      <c r="K63" s="1313">
        <f t="shared" si="18"/>
        <v>42217</v>
      </c>
      <c r="L63" s="1313">
        <f t="shared" si="18"/>
        <v>42125</v>
      </c>
      <c r="M63" s="1313">
        <f t="shared" si="18"/>
        <v>42036</v>
      </c>
      <c r="N63" s="1313">
        <f t="shared" si="18"/>
        <v>41944</v>
      </c>
      <c r="O63" s="1313">
        <f t="shared" si="18"/>
        <v>41852</v>
      </c>
    </row>
    <row r="64" spans="1:17" ht="21.75" thickBot="1">
      <c r="A64" s="1315" t="s">
        <v>589</v>
      </c>
      <c r="B64" s="1311"/>
      <c r="C64" s="1316"/>
      <c r="D64" s="1316"/>
      <c r="E64" s="1316"/>
      <c r="F64" s="1317"/>
      <c r="G64" s="1317"/>
      <c r="H64" s="1316"/>
      <c r="I64" s="1316"/>
      <c r="J64" s="1316"/>
      <c r="K64" s="1318"/>
      <c r="L64" s="1319"/>
      <c r="M64" s="1316"/>
      <c r="N64" s="1316"/>
      <c r="O64" s="2405"/>
      <c r="P64" s="850"/>
      <c r="Q64" s="851"/>
    </row>
    <row r="65" spans="1:17" s="855" customFormat="1" ht="15">
      <c r="A65" s="2742" t="s">
        <v>3196</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4"/>
    </row>
    <row r="66" spans="1:17" s="412" customFormat="1" ht="30.75" customHeight="1">
      <c r="A66" s="3074" t="s">
        <v>3195</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2">
        <v>95</v>
      </c>
      <c r="N66" s="3072">
        <v>94.5</v>
      </c>
      <c r="O66" s="3075">
        <v>95.5</v>
      </c>
      <c r="P66" s="851"/>
    </row>
    <row r="67" spans="1:17" s="412" customFormat="1" ht="15.75" thickBot="1">
      <c r="A67" s="862" t="s">
        <v>590</v>
      </c>
      <c r="B67" s="863"/>
      <c r="C67" s="864"/>
      <c r="D67" s="865"/>
      <c r="E67" s="865"/>
      <c r="F67" s="865"/>
      <c r="G67" s="865"/>
      <c r="H67" s="865"/>
      <c r="I67" s="865"/>
      <c r="J67" s="865"/>
      <c r="K67" s="865"/>
      <c r="L67" s="865"/>
      <c r="M67" s="866"/>
      <c r="N67" s="866"/>
      <c r="O67" s="867"/>
      <c r="P67" s="851"/>
      <c r="Q67" s="851"/>
    </row>
    <row r="68" spans="1:17" s="412" customFormat="1" ht="15">
      <c r="A68" s="868" t="s">
        <v>570</v>
      </c>
      <c r="B68" s="857"/>
      <c r="C68" s="869" t="s">
        <v>591</v>
      </c>
      <c r="D68" s="140" t="s">
        <v>1459</v>
      </c>
      <c r="E68" s="140"/>
      <c r="F68" s="140"/>
      <c r="G68" s="140"/>
      <c r="H68" s="140"/>
      <c r="I68" s="140"/>
      <c r="J68" s="140"/>
      <c r="K68" s="140"/>
      <c r="L68" s="141"/>
      <c r="M68" s="1056"/>
      <c r="N68" s="2396"/>
      <c r="O68" s="2396"/>
      <c r="P68" s="873"/>
      <c r="Q68" s="851"/>
    </row>
    <row r="69" spans="1:17" s="412" customFormat="1" ht="15.75" thickBot="1">
      <c r="A69" s="868"/>
      <c r="B69" s="857"/>
      <c r="C69" s="986">
        <v>100</v>
      </c>
      <c r="D69" s="859">
        <v>96</v>
      </c>
      <c r="E69" s="859"/>
      <c r="F69" s="859"/>
      <c r="G69" s="859"/>
      <c r="H69" s="859"/>
      <c r="I69" s="859"/>
      <c r="J69" s="859"/>
      <c r="K69" s="859"/>
      <c r="L69" s="859"/>
      <c r="M69" s="861"/>
      <c r="N69" s="2396"/>
      <c r="O69" s="2396"/>
      <c r="P69" s="851"/>
      <c r="Q69" s="851"/>
    </row>
    <row r="70" spans="1:17">
      <c r="A70" s="874" t="s">
        <v>593</v>
      </c>
      <c r="B70" s="875" t="s">
        <v>594</v>
      </c>
      <c r="C70" s="122" t="s">
        <v>312</v>
      </c>
      <c r="D70" s="122" t="s">
        <v>313</v>
      </c>
      <c r="E70" s="122"/>
      <c r="F70" s="122"/>
      <c r="G70" s="122"/>
      <c r="H70" s="122"/>
      <c r="I70" s="122"/>
      <c r="J70" s="122"/>
      <c r="K70" s="123"/>
      <c r="L70" s="124"/>
      <c r="M70" s="125"/>
      <c r="N70" s="2397"/>
      <c r="O70" s="2397"/>
      <c r="P70" s="340"/>
      <c r="Q70" s="851"/>
    </row>
    <row r="71" spans="1:17" ht="15.75" thickBot="1">
      <c r="A71" s="881"/>
      <c r="B71" s="882"/>
      <c r="C71" s="883">
        <v>100</v>
      </c>
      <c r="D71" s="883">
        <v>105</v>
      </c>
      <c r="E71" s="883"/>
      <c r="F71" s="883"/>
      <c r="G71" s="883"/>
      <c r="H71" s="883"/>
      <c r="I71" s="883"/>
      <c r="J71" s="883"/>
      <c r="K71" s="883"/>
      <c r="L71" s="883"/>
      <c r="M71" s="884"/>
      <c r="N71" s="2398"/>
      <c r="O71" s="2398"/>
      <c r="P71" s="340"/>
      <c r="Q71" s="851"/>
    </row>
    <row r="72" spans="1:17" ht="27.75" thickTop="1">
      <c r="A72" s="881"/>
      <c r="B72" s="885" t="s">
        <v>574</v>
      </c>
      <c r="C72" s="886"/>
      <c r="D72" s="886"/>
      <c r="E72" s="886"/>
      <c r="F72" s="886"/>
      <c r="G72" s="886"/>
      <c r="H72" s="886"/>
      <c r="I72" s="886"/>
      <c r="J72" s="886"/>
      <c r="K72" s="887"/>
      <c r="L72" s="888"/>
      <c r="M72" s="889"/>
      <c r="N72" s="2397"/>
      <c r="O72" s="2397"/>
      <c r="P72" s="340"/>
      <c r="Q72" s="851"/>
    </row>
    <row r="73" spans="1:17" ht="15.75" thickBot="1">
      <c r="A73" s="881"/>
      <c r="B73" s="890"/>
      <c r="C73" s="891"/>
      <c r="D73" s="891"/>
      <c r="E73" s="891"/>
      <c r="F73" s="891"/>
      <c r="G73" s="891"/>
      <c r="H73" s="891"/>
      <c r="I73" s="891"/>
      <c r="J73" s="891"/>
      <c r="K73" s="891"/>
      <c r="L73" s="891"/>
      <c r="M73" s="892"/>
      <c r="N73" s="2398"/>
      <c r="O73" s="2398"/>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8"/>
      <c r="O74" s="2398"/>
      <c r="P74" s="340"/>
      <c r="Q74" s="851"/>
    </row>
    <row r="75" spans="1:17" ht="15">
      <c r="A75" s="881"/>
      <c r="B75" s="1062"/>
      <c r="C75" s="896">
        <v>0</v>
      </c>
      <c r="D75" s="896">
        <v>1</v>
      </c>
      <c r="E75" s="896">
        <v>2</v>
      </c>
      <c r="F75" s="896">
        <v>3</v>
      </c>
      <c r="G75" s="896">
        <v>4</v>
      </c>
      <c r="H75" s="896">
        <v>5</v>
      </c>
      <c r="I75" s="896"/>
      <c r="J75" s="896"/>
      <c r="K75" s="897"/>
      <c r="L75" s="898"/>
      <c r="M75" s="899"/>
      <c r="N75" s="2397"/>
      <c r="O75" s="2397"/>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8"/>
      <c r="O76" s="2398"/>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9"/>
      <c r="O77" s="2399"/>
      <c r="P77" s="905"/>
      <c r="Q77" s="906"/>
    </row>
    <row r="78" spans="1:17" s="818" customFormat="1" ht="15.75" thickBot="1">
      <c r="A78" s="900"/>
      <c r="B78" s="1060"/>
      <c r="C78" s="907">
        <v>100</v>
      </c>
      <c r="D78" s="883">
        <v>99</v>
      </c>
      <c r="E78" s="883">
        <v>98</v>
      </c>
      <c r="F78" s="883">
        <v>97</v>
      </c>
      <c r="G78" s="883"/>
      <c r="H78" s="883"/>
      <c r="I78" s="883"/>
      <c r="J78" s="883"/>
      <c r="K78" s="883"/>
      <c r="L78" s="883"/>
      <c r="M78" s="884"/>
      <c r="N78" s="2398"/>
      <c r="O78" s="2398"/>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9"/>
      <c r="O79" s="2399"/>
      <c r="P79" s="817"/>
      <c r="Q79" s="908"/>
    </row>
    <row r="80" spans="1:17" s="818" customFormat="1" ht="15.75" thickBot="1">
      <c r="A80" s="900"/>
      <c r="B80" s="1060"/>
      <c r="C80" s="907">
        <v>100</v>
      </c>
      <c r="D80" s="907">
        <v>98</v>
      </c>
      <c r="E80" s="907">
        <v>96</v>
      </c>
      <c r="F80" s="907">
        <v>94</v>
      </c>
      <c r="G80" s="907"/>
      <c r="H80" s="909"/>
      <c r="I80" s="909"/>
      <c r="J80" s="909"/>
      <c r="K80" s="909"/>
      <c r="L80" s="909"/>
      <c r="M80" s="910"/>
      <c r="N80" s="2399"/>
      <c r="O80" s="2399"/>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9"/>
      <c r="O81" s="2399"/>
      <c r="P81" s="914"/>
      <c r="Q81" s="906"/>
    </row>
    <row r="82" spans="1:17" s="818" customFormat="1" ht="15.75" thickBot="1">
      <c r="A82" s="915"/>
      <c r="B82" s="1076"/>
      <c r="C82" s="917">
        <v>100</v>
      </c>
      <c r="D82" s="917">
        <v>97</v>
      </c>
      <c r="E82" s="917">
        <v>94</v>
      </c>
      <c r="F82" s="917">
        <v>91</v>
      </c>
      <c r="G82" s="917"/>
      <c r="H82" s="918"/>
      <c r="I82" s="918"/>
      <c r="J82" s="918"/>
      <c r="K82" s="918"/>
      <c r="L82" s="918"/>
      <c r="M82" s="919"/>
      <c r="N82" s="2399"/>
      <c r="O82" s="2399"/>
      <c r="P82" s="905"/>
      <c r="Q82" s="906"/>
    </row>
    <row r="83" spans="1:17">
      <c r="A83" s="874" t="s">
        <v>576</v>
      </c>
      <c r="B83" s="292" t="s">
        <v>266</v>
      </c>
      <c r="C83" s="920" t="s">
        <v>600</v>
      </c>
      <c r="D83" s="920" t="s">
        <v>601</v>
      </c>
      <c r="E83" s="920" t="s">
        <v>602</v>
      </c>
      <c r="F83" s="920" t="s">
        <v>603</v>
      </c>
      <c r="G83" s="920" t="s">
        <v>604</v>
      </c>
      <c r="H83" s="876"/>
      <c r="I83" s="876"/>
      <c r="J83" s="876"/>
      <c r="K83" s="921"/>
      <c r="L83" s="922"/>
      <c r="M83" s="923"/>
      <c r="N83" s="2397"/>
      <c r="O83" s="239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8"/>
      <c r="O84" s="2398"/>
      <c r="P84" s="340"/>
      <c r="Q84" s="851"/>
    </row>
    <row r="85" spans="1:17" ht="15.75" thickTop="1">
      <c r="A85" s="881"/>
      <c r="B85" s="1059" t="s">
        <v>97</v>
      </c>
      <c r="C85" s="925" t="s">
        <v>600</v>
      </c>
      <c r="D85" s="925" t="s">
        <v>601</v>
      </c>
      <c r="E85" s="925" t="s">
        <v>602</v>
      </c>
      <c r="F85" s="925" t="s">
        <v>603</v>
      </c>
      <c r="G85" s="925" t="s">
        <v>604</v>
      </c>
      <c r="H85" s="886"/>
      <c r="I85" s="886"/>
      <c r="J85" s="886"/>
      <c r="K85" s="887"/>
      <c r="L85" s="888"/>
      <c r="M85" s="889"/>
      <c r="N85" s="2397"/>
      <c r="O85" s="2397"/>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8"/>
      <c r="O86" s="2398"/>
      <c r="P86" s="340"/>
      <c r="Q86" s="851"/>
    </row>
    <row r="87" spans="1:17" s="412" customFormat="1" ht="27.75" thickTop="1">
      <c r="A87" s="926"/>
      <c r="B87" s="1059" t="s">
        <v>128</v>
      </c>
      <c r="C87" s="920" t="s">
        <v>600</v>
      </c>
      <c r="D87" s="920" t="s">
        <v>601</v>
      </c>
      <c r="E87" s="920" t="s">
        <v>602</v>
      </c>
      <c r="F87" s="920" t="s">
        <v>603</v>
      </c>
      <c r="G87" s="920" t="s">
        <v>604</v>
      </c>
      <c r="H87" s="925"/>
      <c r="I87" s="925"/>
      <c r="J87" s="925"/>
      <c r="K87" s="925"/>
      <c r="L87" s="1112"/>
      <c r="M87" s="969"/>
      <c r="N87" s="2396"/>
      <c r="O87" s="2396"/>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8"/>
      <c r="O88" s="2398"/>
      <c r="P88" s="340"/>
      <c r="Q88" s="851"/>
    </row>
    <row r="89" spans="1:17" s="412" customFormat="1" ht="27.75" thickTop="1">
      <c r="A89" s="926"/>
      <c r="B89" s="1059" t="s">
        <v>249</v>
      </c>
      <c r="C89" s="920" t="s">
        <v>600</v>
      </c>
      <c r="D89" s="920" t="s">
        <v>601</v>
      </c>
      <c r="E89" s="920" t="s">
        <v>602</v>
      </c>
      <c r="F89" s="920" t="s">
        <v>603</v>
      </c>
      <c r="G89" s="920" t="s">
        <v>604</v>
      </c>
      <c r="H89" s="925"/>
      <c r="I89" s="925"/>
      <c r="J89" s="925"/>
      <c r="K89" s="925"/>
      <c r="L89" s="925"/>
      <c r="M89" s="969"/>
      <c r="N89" s="2396"/>
      <c r="O89" s="2396"/>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8"/>
      <c r="O90" s="2398"/>
      <c r="P90" s="340"/>
      <c r="Q90" s="851"/>
    </row>
    <row r="91" spans="1:17" s="818" customFormat="1" ht="15.75" thickTop="1">
      <c r="A91" s="900"/>
      <c r="B91" s="1059" t="s">
        <v>3069</v>
      </c>
      <c r="C91" s="920" t="s">
        <v>600</v>
      </c>
      <c r="D91" s="920" t="s">
        <v>601</v>
      </c>
      <c r="E91" s="920" t="s">
        <v>602</v>
      </c>
      <c r="F91" s="920" t="s">
        <v>603</v>
      </c>
      <c r="G91" s="920" t="s">
        <v>604</v>
      </c>
      <c r="H91" s="947"/>
      <c r="I91" s="947"/>
      <c r="J91" s="947"/>
      <c r="K91" s="947"/>
      <c r="L91" s="948"/>
      <c r="M91" s="949"/>
      <c r="N91" s="2399"/>
      <c r="O91" s="239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9"/>
      <c r="O92" s="2399"/>
      <c r="P92" s="905"/>
      <c r="Q92" s="906"/>
    </row>
    <row r="93" spans="1:17" s="818" customFormat="1" ht="15.75" thickTop="1">
      <c r="A93" s="900"/>
      <c r="B93" s="1061" t="s">
        <v>3071</v>
      </c>
      <c r="C93" s="213" t="s">
        <v>3057</v>
      </c>
      <c r="D93" s="213" t="s">
        <v>3058</v>
      </c>
      <c r="E93" s="213" t="s">
        <v>3059</v>
      </c>
      <c r="F93" s="213" t="s">
        <v>3060</v>
      </c>
      <c r="G93" s="213" t="s">
        <v>3061</v>
      </c>
      <c r="H93" s="947"/>
      <c r="I93" s="947"/>
      <c r="J93" s="947"/>
      <c r="K93" s="947"/>
      <c r="L93" s="947"/>
      <c r="M93" s="949"/>
      <c r="N93" s="2399"/>
      <c r="O93" s="239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6"/>
      <c r="N94" s="2399"/>
      <c r="O94" s="2399"/>
      <c r="P94" s="905"/>
      <c r="Q94" s="906"/>
    </row>
    <row r="95" spans="1:17" ht="15.75" thickTop="1">
      <c r="A95" s="881"/>
      <c r="B95" s="1059" t="str">
        <f>B27</f>
        <v>临街状况</v>
      </c>
      <c r="C95" s="886" t="s">
        <v>725</v>
      </c>
      <c r="D95" s="886" t="s">
        <v>726</v>
      </c>
      <c r="E95" s="886" t="s">
        <v>727</v>
      </c>
      <c r="F95" s="886" t="s">
        <v>728</v>
      </c>
      <c r="G95" s="886"/>
      <c r="H95" s="886"/>
      <c r="I95" s="886"/>
      <c r="J95" s="886"/>
      <c r="K95" s="887"/>
      <c r="L95" s="888"/>
      <c r="M95" s="889"/>
      <c r="N95" s="2397"/>
      <c r="O95" s="2397"/>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8"/>
      <c r="O96" s="2398"/>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7"/>
      <c r="O97" s="2397"/>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8"/>
      <c r="O98" s="2398"/>
      <c r="P98" s="340"/>
      <c r="Q98" s="851"/>
    </row>
    <row r="99" spans="1:17" ht="15.75" thickTop="1">
      <c r="A99" s="881"/>
      <c r="B99" s="1059" t="s">
        <v>248</v>
      </c>
      <c r="C99" s="930" t="s">
        <v>729</v>
      </c>
      <c r="D99" s="930" t="s">
        <v>730</v>
      </c>
      <c r="E99" s="930" t="s">
        <v>731</v>
      </c>
      <c r="F99" s="930" t="s">
        <v>743</v>
      </c>
      <c r="G99" s="930" t="s">
        <v>744</v>
      </c>
      <c r="H99" s="930"/>
      <c r="I99" s="930"/>
      <c r="J99" s="930"/>
      <c r="K99" s="931"/>
      <c r="L99" s="932"/>
      <c r="M99" s="933"/>
      <c r="N99" s="2397"/>
      <c r="O99" s="2397"/>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8"/>
      <c r="O100" s="2398"/>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7"/>
      <c r="O101" s="2397"/>
      <c r="P101" s="340"/>
      <c r="Q101" s="851"/>
    </row>
    <row r="102" spans="1:17" ht="15.75" thickBot="1">
      <c r="A102" s="881"/>
      <c r="B102" s="1076"/>
      <c r="C102" s="907">
        <v>100</v>
      </c>
      <c r="D102" s="883">
        <v>99</v>
      </c>
      <c r="E102" s="883">
        <v>98</v>
      </c>
      <c r="F102" s="883">
        <v>97</v>
      </c>
      <c r="G102" s="938"/>
      <c r="H102" s="938"/>
      <c r="I102" s="938"/>
      <c r="J102" s="938"/>
      <c r="K102" s="938"/>
      <c r="L102" s="938"/>
      <c r="M102" s="939"/>
      <c r="N102" s="2398"/>
      <c r="O102" s="2398"/>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7"/>
      <c r="O103" s="2397"/>
      <c r="P103" s="340"/>
      <c r="Q103" s="851"/>
    </row>
    <row r="104" spans="1:17" ht="15.75" thickBot="1">
      <c r="A104" s="881"/>
      <c r="B104" s="1060"/>
      <c r="C104" s="907">
        <v>100</v>
      </c>
      <c r="D104" s="907">
        <v>98</v>
      </c>
      <c r="E104" s="907">
        <v>96</v>
      </c>
      <c r="F104" s="907">
        <v>94</v>
      </c>
      <c r="G104" s="883"/>
      <c r="H104" s="883"/>
      <c r="I104" s="883"/>
      <c r="J104" s="883"/>
      <c r="K104" s="883"/>
      <c r="L104" s="883"/>
      <c r="M104" s="884"/>
      <c r="N104" s="2398"/>
      <c r="O104" s="2398"/>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9"/>
      <c r="O105" s="239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8"/>
      <c r="O106" s="2398"/>
      <c r="P106" s="905"/>
      <c r="Q106" s="906"/>
    </row>
    <row r="107" spans="1:17" ht="28.5">
      <c r="A107" s="874" t="s">
        <v>581</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7"/>
      <c r="O107" s="2397"/>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7"/>
      <c r="O108" s="2397"/>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8"/>
      <c r="O109" s="2398"/>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7"/>
      <c r="O110" s="2397"/>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8"/>
      <c r="O111" s="2398"/>
      <c r="P111" s="340"/>
      <c r="Q111" s="851"/>
    </row>
    <row r="112" spans="1:17" s="818" customFormat="1" ht="15" thickTop="1">
      <c r="A112" s="940"/>
      <c r="B112" s="1059" t="s">
        <v>2900</v>
      </c>
      <c r="C112" s="139" t="s">
        <v>2901</v>
      </c>
      <c r="D112" s="139" t="s">
        <v>2902</v>
      </c>
      <c r="E112" s="139" t="s">
        <v>2895</v>
      </c>
      <c r="F112" s="139" t="s">
        <v>2896</v>
      </c>
      <c r="G112" s="139" t="s">
        <v>2897</v>
      </c>
      <c r="H112" s="131"/>
      <c r="I112" s="131"/>
      <c r="J112" s="131"/>
      <c r="K112" s="132"/>
      <c r="L112" s="133"/>
      <c r="M112" s="134"/>
      <c r="N112" s="2399"/>
      <c r="O112" s="239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9"/>
      <c r="O113" s="2399"/>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7"/>
      <c r="O114" s="2397"/>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8"/>
      <c r="O115" s="2398"/>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7"/>
      <c r="O116" s="2397"/>
      <c r="P116" s="340"/>
      <c r="Q116" s="851"/>
    </row>
    <row r="117" spans="1:17" ht="15.75" thickBot="1">
      <c r="A117" s="881"/>
      <c r="B117" s="1060"/>
      <c r="C117" s="907">
        <v>100</v>
      </c>
      <c r="D117" s="883">
        <v>99</v>
      </c>
      <c r="E117" s="883">
        <v>98</v>
      </c>
      <c r="F117" s="883">
        <v>97</v>
      </c>
      <c r="G117" s="883"/>
      <c r="H117" s="883"/>
      <c r="I117" s="883"/>
      <c r="J117" s="883"/>
      <c r="K117" s="883"/>
      <c r="L117" s="883"/>
      <c r="M117" s="884"/>
      <c r="N117" s="2398"/>
      <c r="O117" s="2398"/>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7"/>
      <c r="O118" s="2397"/>
      <c r="P118" s="340"/>
      <c r="Q118" s="851"/>
    </row>
    <row r="119" spans="1:17" ht="15.75" thickBot="1">
      <c r="A119" s="881"/>
      <c r="B119" s="1060"/>
      <c r="C119" s="907">
        <v>100</v>
      </c>
      <c r="D119" s="907">
        <v>98</v>
      </c>
      <c r="E119" s="907">
        <v>96</v>
      </c>
      <c r="F119" s="907">
        <v>94</v>
      </c>
      <c r="G119" s="883"/>
      <c r="H119" s="883"/>
      <c r="I119" s="883"/>
      <c r="J119" s="883"/>
      <c r="K119" s="883"/>
      <c r="L119" s="883"/>
      <c r="M119" s="884"/>
      <c r="N119" s="2398"/>
      <c r="O119" s="2398"/>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9"/>
      <c r="O120" s="239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9"/>
      <c r="O121" s="2399"/>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2141</v>
      </c>
      <c r="B1" s="1499"/>
      <c r="C1" s="86" t="s">
        <v>2903</v>
      </c>
      <c r="D1" s="1761">
        <f>SUM(D29:D30,D33:D39)</f>
        <v>0</v>
      </c>
      <c r="E1" s="1645"/>
      <c r="F1" s="1645"/>
      <c r="G1" s="1645"/>
      <c r="H1" s="1645"/>
      <c r="I1" s="1645"/>
      <c r="J1" s="1645"/>
      <c r="K1" s="2409"/>
      <c r="L1" s="1907" t="s">
        <v>1573</v>
      </c>
      <c r="M1" s="2161">
        <f>SUMPRODUCT((区片价!B5:B9=I2)*(区片价!C3:F3=E2)*(区片价!C5:F9))</f>
        <v>0</v>
      </c>
      <c r="N1" s="2164">
        <f>SUMPRODUCT((因素修正幅度!B5:B9=I2)*(因素修正幅度!C3:F3=E2)*(因素修正幅度!C5:F9))</f>
        <v>0</v>
      </c>
      <c r="O1" s="2413"/>
      <c r="P1" s="2413"/>
      <c r="Q1" s="2409"/>
      <c r="R1" s="3113" t="s">
        <v>3297</v>
      </c>
      <c r="S1" s="3113" t="s">
        <v>3298</v>
      </c>
      <c r="T1" s="3113" t="s">
        <v>3299</v>
      </c>
      <c r="U1" s="3113" t="s">
        <v>3300</v>
      </c>
      <c r="V1" s="3113" t="s">
        <v>3301</v>
      </c>
      <c r="W1" s="3114"/>
      <c r="X1" s="3114"/>
      <c r="Y1" s="3114"/>
      <c r="Z1" s="3114"/>
      <c r="AA1" s="3114"/>
      <c r="AB1" s="3114"/>
      <c r="AC1" s="3115"/>
      <c r="AD1" s="3116"/>
      <c r="AE1" s="3116"/>
      <c r="AF1" s="3116"/>
      <c r="AG1" s="3116"/>
      <c r="AH1" s="3116"/>
      <c r="AI1" s="3116"/>
      <c r="AJ1" s="3117"/>
    </row>
    <row r="2" spans="1:36" ht="15.75">
      <c r="A2" s="86" t="s">
        <v>2142</v>
      </c>
      <c r="B2" s="584" t="e">
        <f>C26</f>
        <v>#DIV/0!</v>
      </c>
      <c r="C2" s="1497" t="s">
        <v>1482</v>
      </c>
      <c r="D2" s="1650" t="s">
        <v>2143</v>
      </c>
      <c r="E2" s="1805" t="s">
        <v>209</v>
      </c>
      <c r="F2" s="1650" t="s">
        <v>2144</v>
      </c>
      <c r="G2" s="1627" t="str">
        <f>IF(E2="商业",项目基本情况!B37,IF(E2="办公",项目基本情况!C37,IF(E2="住宅",项目基本情况!D37,项目基本情况!E37)))</f>
        <v>八级</v>
      </c>
      <c r="H2" s="1650" t="s">
        <v>2145</v>
      </c>
      <c r="I2" s="1627" t="str">
        <f>IF(E2="商业",项目基本情况!B38,IF(E2="办公",项目基本情况!C38,IF(E2="住宅",项目基本情况!D38,项目基本情况!E38)))</f>
        <v>Ⅷ-通2</v>
      </c>
      <c r="J2" s="1651"/>
      <c r="K2" s="2409"/>
      <c r="L2" s="1908" t="s">
        <v>1630</v>
      </c>
      <c r="M2" s="2162">
        <f>SUMPRODUCT((区片价!B10:B28=I2)*(区片价!C3:F3=E2)*(区片价!C10:F28))</f>
        <v>0</v>
      </c>
      <c r="N2" s="2164">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1.9419999999999999</v>
      </c>
      <c r="T2" s="3118" t="e">
        <f>ROUND($C$5*$C$18*$C$19*$C$20*S2*$C$24,0)</f>
        <v>#DIV/0!</v>
      </c>
      <c r="U2" s="3119"/>
      <c r="V2" s="3118" t="e">
        <f>ROUND(T2*U2/10000,0)</f>
        <v>#DIV/0!</v>
      </c>
      <c r="W2" s="3114"/>
      <c r="X2" s="3114"/>
      <c r="Y2" s="3114"/>
      <c r="Z2" s="3114"/>
      <c r="AA2" s="3114"/>
      <c r="AB2" s="3114"/>
      <c r="AC2" s="3115"/>
      <c r="AD2" s="3116"/>
      <c r="AE2" s="3116"/>
      <c r="AF2" s="3116"/>
      <c r="AG2" s="3116"/>
      <c r="AH2" s="3116"/>
      <c r="AI2" s="3116"/>
      <c r="AJ2" s="3117"/>
    </row>
    <row r="3" spans="1:36" ht="24">
      <c r="A3" s="87" t="s">
        <v>2146</v>
      </c>
      <c r="B3" s="584" t="e">
        <f>ROUND(B2*10000/D1,0)</f>
        <v>#DIV/0!</v>
      </c>
      <c r="C3" s="1497" t="s">
        <v>2147</v>
      </c>
      <c r="D3" s="1650" t="s">
        <v>1485</v>
      </c>
      <c r="E3" s="1806" t="s">
        <v>2905</v>
      </c>
      <c r="F3" s="1807" t="s">
        <v>2222</v>
      </c>
      <c r="G3" s="1652">
        <f>IF(F3="宗地容积率",'数据-汇总表'!I4,IF(F3="估价对象容积率",'数据-汇总表'!I6,'数据-汇总表'!I7))</f>
        <v>5.84</v>
      </c>
      <c r="H3" s="1653" t="s">
        <v>1486</v>
      </c>
      <c r="I3" s="1808">
        <v>3</v>
      </c>
      <c r="J3" s="1651" t="s">
        <v>1487</v>
      </c>
      <c r="K3" s="2409"/>
      <c r="L3" s="1908" t="s">
        <v>1803</v>
      </c>
      <c r="M3" s="2162">
        <f>SUMPRODUCT((区片价!B29:B48=I2)*(区片价!C3:F3=E2)*(区片价!C29:F48))</f>
        <v>0</v>
      </c>
      <c r="N3" s="2164">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1.2799</v>
      </c>
      <c r="T3" s="3118" t="e">
        <f t="shared" ref="T3:T16" si="0">ROUND($C$5*$C$18*$C$19*$C$20*S3*$C$24,0)</f>
        <v>#DIV/0!</v>
      </c>
      <c r="U3" s="3119"/>
      <c r="V3" s="3118" t="e">
        <f t="shared" ref="V3:V16" si="1">ROUND(T3*U3/10000,0)</f>
        <v>#DIV/0!</v>
      </c>
      <c r="W3" s="3114"/>
      <c r="X3" s="3114"/>
      <c r="Y3" s="3114"/>
      <c r="Z3" s="3114"/>
      <c r="AA3" s="3114"/>
      <c r="AB3" s="3114"/>
      <c r="AC3" s="3115"/>
      <c r="AD3" s="3116"/>
      <c r="AE3" s="3116"/>
      <c r="AF3" s="3116"/>
      <c r="AG3" s="3116"/>
      <c r="AH3" s="3116"/>
      <c r="AI3" s="3116"/>
      <c r="AJ3" s="3117"/>
    </row>
    <row r="4" spans="1:36" ht="15">
      <c r="A4" s="3770"/>
      <c r="B4" s="3771"/>
      <c r="C4" s="3771"/>
      <c r="D4" s="3772"/>
      <c r="E4" s="3772"/>
      <c r="F4" s="3772"/>
      <c r="G4" s="3772"/>
      <c r="H4" s="3772"/>
      <c r="I4" s="3772"/>
      <c r="J4" s="3773"/>
      <c r="K4" s="2409"/>
      <c r="L4" s="1908" t="s">
        <v>1483</v>
      </c>
      <c r="M4" s="2162">
        <f>SUMPRODUCT((区片价!B49:B75=I2)*(区片价!C3:F3=E2)*(区片价!C49:F75))</f>
        <v>0</v>
      </c>
      <c r="N4" s="2164">
        <f>SUMPRODUCT((因素修正幅度!B49:B75=I2)*(因素修正幅度!C3:F3=E2)*(因素修正幅度!C49:F75))</f>
        <v>0</v>
      </c>
      <c r="O4" s="2409"/>
      <c r="P4" s="2409"/>
      <c r="Q4" s="2409"/>
      <c r="R4" s="3118">
        <v>3</v>
      </c>
      <c r="S4" s="3118">
        <f>ROUND(IF(G3&gt;1,IF(R4&lt;7,SUMPRODUCT((B93:B98=R4)*(C92:N92=G2)*(C93:N98)),SUMIF(C92:N92,G2,C100:N100)),IF(R4&lt;7,SUMPRODUCT((B102:B107=R4)*(C92:N92=G2)*(C102:N107)),SUMIF(C92:N92,G2,C109:N109))),4)</f>
        <v>1.0072000000000001</v>
      </c>
      <c r="T4" s="3118" t="e">
        <f t="shared" si="0"/>
        <v>#DIV/0!</v>
      </c>
      <c r="U4" s="3119"/>
      <c r="V4" s="3118" t="e">
        <f t="shared" si="1"/>
        <v>#DIV/0!</v>
      </c>
      <c r="W4" s="3114"/>
      <c r="X4" s="3114"/>
      <c r="Y4" s="3114"/>
      <c r="Z4" s="3114"/>
      <c r="AA4" s="3114"/>
      <c r="AB4" s="3114"/>
      <c r="AC4" s="3115"/>
      <c r="AD4" s="3116"/>
      <c r="AE4" s="3116"/>
      <c r="AF4" s="3116"/>
      <c r="AG4" s="3116"/>
      <c r="AH4" s="3116"/>
      <c r="AI4" s="3116"/>
      <c r="AJ4" s="3117"/>
    </row>
    <row r="5" spans="1:36" s="1661" customFormat="1" ht="15.75" thickBot="1">
      <c r="A5" s="1901" t="s">
        <v>2289</v>
      </c>
      <c r="B5" s="1654" t="s">
        <v>2148</v>
      </c>
      <c r="C5" s="1655">
        <f>ROUND(IF(E2="商业",IF(F16="增加",C6*C7+C16,C6*C7-C16),IF(E2="住宅",IF(F16="增加",C6*C12+C16,C6*C12-C16),IF(F16="增加",C6+C16,C6-C16))),0)</f>
        <v>5050</v>
      </c>
      <c r="D5" s="1656"/>
      <c r="E5" s="1657"/>
      <c r="F5" s="1657"/>
      <c r="G5" s="1658"/>
      <c r="H5" s="1658"/>
      <c r="I5" s="1658"/>
      <c r="J5" s="1659"/>
      <c r="K5" s="2414"/>
      <c r="L5" s="1908" t="s">
        <v>1884</v>
      </c>
      <c r="M5" s="2162">
        <f>SUMPRODUCT((区片价!B76:B109=I2)*(区片价!C3:F3=E2)*(区片价!C76:F109))</f>
        <v>0</v>
      </c>
      <c r="N5" s="2164">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0.75249999999999995</v>
      </c>
      <c r="T5" s="3118" t="e">
        <f t="shared" si="0"/>
        <v>#DIV/0!</v>
      </c>
      <c r="U5" s="3119"/>
      <c r="V5" s="3118" t="e">
        <f t="shared" si="1"/>
        <v>#DIV/0!</v>
      </c>
      <c r="W5" s="3114"/>
      <c r="X5" s="3114"/>
      <c r="Y5" s="3114"/>
      <c r="Z5" s="3114"/>
      <c r="AA5" s="3114"/>
      <c r="AB5" s="3114"/>
      <c r="AC5" s="3120"/>
      <c r="AD5" s="3121"/>
      <c r="AE5" s="3121"/>
      <c r="AF5" s="3121"/>
      <c r="AG5" s="3121"/>
      <c r="AH5" s="3121"/>
      <c r="AI5" s="3121"/>
      <c r="AJ5" s="3122"/>
    </row>
    <row r="6" spans="1:36" ht="15.75" thickBot="1">
      <c r="A6" s="1905" t="s">
        <v>2296</v>
      </c>
      <c r="B6" s="1662" t="s">
        <v>2148</v>
      </c>
      <c r="C6" s="1663">
        <f>SUMIF(L1:L12,G2,M1:M12)</f>
        <v>5050</v>
      </c>
      <c r="D6" s="1664" t="s">
        <v>2149</v>
      </c>
      <c r="E6" s="1665"/>
      <c r="F6" s="1665"/>
      <c r="G6" s="1666"/>
      <c r="H6" s="1666"/>
      <c r="I6" s="1666"/>
      <c r="J6" s="1667"/>
      <c r="K6" s="2415"/>
      <c r="L6" s="1908" t="s">
        <v>367</v>
      </c>
      <c r="M6" s="2162">
        <f>SUMPRODUCT((区片价!B110:B157=I2)*(区片价!C3:F3=E2)*(区片价!C110:F157))</f>
        <v>0</v>
      </c>
      <c r="N6" s="2164">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0.56589999999999996</v>
      </c>
      <c r="T6" s="3118" t="e">
        <f t="shared" si="0"/>
        <v>#DIV/0!</v>
      </c>
      <c r="U6" s="3119"/>
      <c r="V6" s="3118" t="e">
        <f t="shared" si="1"/>
        <v>#DIV/0!</v>
      </c>
      <c r="W6" s="3114"/>
      <c r="X6" s="3114"/>
      <c r="Y6" s="3114"/>
      <c r="Z6" s="3114"/>
      <c r="AA6" s="3114"/>
      <c r="AB6" s="3114"/>
      <c r="AC6" s="3120"/>
      <c r="AD6" s="3121"/>
      <c r="AE6" s="3121"/>
      <c r="AF6" s="3121"/>
      <c r="AG6" s="3121"/>
      <c r="AH6" s="3121"/>
      <c r="AI6" s="3121"/>
      <c r="AJ6" s="3122"/>
    </row>
    <row r="7" spans="1:36" ht="24">
      <c r="A7" s="3757" t="str">
        <f>IF(E2="商业",IF(C8="不临58条商业街","",2),"")</f>
        <v/>
      </c>
      <c r="B7" s="1668" t="s">
        <v>2150</v>
      </c>
      <c r="C7" s="1669">
        <f>IF(C8="不临58条商业街",1,ROUND(1+(1.6*E8+1.2*E9+0.8*E10+0.4*E11)*C9,4))</f>
        <v>1</v>
      </c>
      <c r="D7" s="1670" t="s">
        <v>2151</v>
      </c>
      <c r="E7" s="1809">
        <v>60</v>
      </c>
      <c r="F7" s="1671"/>
      <c r="G7" s="1672"/>
      <c r="H7" s="1672"/>
      <c r="I7" s="1672"/>
      <c r="J7" s="1673"/>
      <c r="K7" s="2415"/>
      <c r="L7" s="1908" t="s">
        <v>1887</v>
      </c>
      <c r="M7" s="2162">
        <f>SUMPRODUCT((区片价!B158:B205=I2)*(区片价!C3:F3=E2)*(区片价!C158:F205))</f>
        <v>0</v>
      </c>
      <c r="N7" s="2164">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0.45250000000000001</v>
      </c>
      <c r="T7" s="3118" t="e">
        <f t="shared" si="0"/>
        <v>#DIV/0!</v>
      </c>
      <c r="U7" s="3119"/>
      <c r="V7" s="3118" t="e">
        <f t="shared" si="1"/>
        <v>#DIV/0!</v>
      </c>
      <c r="W7" s="3123" t="s">
        <v>3302</v>
      </c>
      <c r="X7" s="3124" t="str">
        <f>G2</f>
        <v>八级</v>
      </c>
      <c r="Y7" s="3124" t="s">
        <v>3303</v>
      </c>
      <c r="Z7" s="3125">
        <f>G3</f>
        <v>5.84</v>
      </c>
      <c r="AA7" s="3126"/>
      <c r="AB7" s="3126"/>
      <c r="AC7" s="3127"/>
      <c r="AD7" s="3128"/>
      <c r="AE7" s="3128"/>
      <c r="AF7" s="3128"/>
      <c r="AG7" s="3128"/>
      <c r="AH7" s="3128"/>
      <c r="AI7" s="3128"/>
      <c r="AJ7" s="3129"/>
    </row>
    <row r="8" spans="1:36" ht="24">
      <c r="A8" s="3758"/>
      <c r="B8" s="1653" t="s">
        <v>2152</v>
      </c>
      <c r="C8" s="1810" t="s">
        <v>2888</v>
      </c>
      <c r="D8" s="1674" t="s">
        <v>1488</v>
      </c>
      <c r="E8" s="1675">
        <f>ROUND(C11/E7,4)</f>
        <v>0</v>
      </c>
      <c r="F8" s="1676" t="s">
        <v>2153</v>
      </c>
      <c r="G8" s="1677"/>
      <c r="H8" s="1677"/>
      <c r="I8" s="1677"/>
      <c r="J8" s="1678"/>
      <c r="K8" s="2409"/>
      <c r="L8" s="1908" t="s">
        <v>1889</v>
      </c>
      <c r="M8" s="2162">
        <f>SUMPRODUCT((区片价!B206:B244=I2)*(区片价!C3:F3=E2)*(区片价!C206:F244))</f>
        <v>5050</v>
      </c>
      <c r="N8" s="2164">
        <f>SUMPRODUCT((因素修正幅度!B206:B244=I2)*(因素修正幅度!C3:F3=E2)*(因素修正幅度!C206:F244))</f>
        <v>0.14699999999999999</v>
      </c>
      <c r="O8" s="2409"/>
      <c r="P8" s="2409"/>
      <c r="Q8" s="2409"/>
      <c r="R8" s="3118">
        <v>7</v>
      </c>
      <c r="S8" s="3119">
        <v>0.64729999999999999</v>
      </c>
      <c r="T8" s="3118" t="e">
        <f t="shared" si="0"/>
        <v>#DIV/0!</v>
      </c>
      <c r="U8" s="3119"/>
      <c r="V8" s="3118" t="e">
        <f t="shared" si="1"/>
        <v>#DIV/0!</v>
      </c>
      <c r="W8" s="3767" t="s">
        <v>3304</v>
      </c>
      <c r="X8" s="3768"/>
      <c r="Y8" s="3130" t="s">
        <v>328</v>
      </c>
      <c r="Z8" s="3130" t="s">
        <v>329</v>
      </c>
      <c r="AA8" s="3130" t="s">
        <v>324</v>
      </c>
      <c r="AB8" s="3130" t="s">
        <v>325</v>
      </c>
      <c r="AC8" s="3130" t="s">
        <v>326</v>
      </c>
      <c r="AD8" s="3130" t="s">
        <v>327</v>
      </c>
      <c r="AE8" s="3130" t="s">
        <v>1524</v>
      </c>
      <c r="AF8" s="3130" t="s">
        <v>1525</v>
      </c>
      <c r="AG8" s="3130" t="s">
        <v>1526</v>
      </c>
      <c r="AH8" s="3130" t="s">
        <v>1527</v>
      </c>
      <c r="AI8" s="3130" t="s">
        <v>1528</v>
      </c>
      <c r="AJ8" s="3130" t="s">
        <v>1529</v>
      </c>
    </row>
    <row r="9" spans="1:36" ht="15">
      <c r="A9" s="3758"/>
      <c r="B9" s="1653" t="s">
        <v>2154</v>
      </c>
      <c r="C9" s="1679">
        <f>SUMIF(修正!C59:C119,C8,修正!E59:E119)</f>
        <v>0</v>
      </c>
      <c r="D9" s="536" t="s">
        <v>1489</v>
      </c>
      <c r="E9" s="536">
        <f>ROUND(C11/E7,4)</f>
        <v>0</v>
      </c>
      <c r="F9" s="1676" t="s">
        <v>2155</v>
      </c>
      <c r="G9" s="1677"/>
      <c r="H9" s="1677"/>
      <c r="I9" s="1677"/>
      <c r="J9" s="1678"/>
      <c r="K9" s="2409"/>
      <c r="L9" s="1908" t="s">
        <v>1891</v>
      </c>
      <c r="M9" s="2162">
        <f>SUMPRODUCT((区片价!B245:B289=I2)*(区片价!C3:F3=E2)*(区片价!C245:F289))</f>
        <v>0</v>
      </c>
      <c r="N9" s="2164">
        <f>SUMPRODUCT((因素修正幅度!B245:B289=I2)*(因素修正幅度!C3:F3=E2)*(因素修正幅度!C245:F289))</f>
        <v>0</v>
      </c>
      <c r="O9" s="2409"/>
      <c r="P9" s="2409"/>
      <c r="Q9" s="2409"/>
      <c r="R9" s="3118">
        <v>8</v>
      </c>
      <c r="S9" s="3119">
        <v>0.64629999999999999</v>
      </c>
      <c r="T9" s="3118" t="e">
        <f t="shared" si="0"/>
        <v>#DIV/0!</v>
      </c>
      <c r="U9" s="3119"/>
      <c r="V9" s="3118" t="e">
        <f t="shared" si="1"/>
        <v>#DIV/0!</v>
      </c>
      <c r="W9" s="3769" t="s">
        <v>3305</v>
      </c>
      <c r="X9" s="3131" t="s">
        <v>2111</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758"/>
      <c r="B10" s="1653" t="s">
        <v>2156</v>
      </c>
      <c r="C10" s="536">
        <f>SUMIF(修正!C59:C119,C8,修正!F59:F119)</f>
        <v>0</v>
      </c>
      <c r="D10" s="536" t="s">
        <v>1490</v>
      </c>
      <c r="E10" s="536">
        <f>ROUND(C11/E7,4)</f>
        <v>0</v>
      </c>
      <c r="F10" s="1676" t="s">
        <v>2157</v>
      </c>
      <c r="G10" s="1677"/>
      <c r="H10" s="1677"/>
      <c r="I10" s="1677"/>
      <c r="J10" s="1678"/>
      <c r="K10" s="2409"/>
      <c r="L10" s="1908" t="s">
        <v>1895</v>
      </c>
      <c r="M10" s="2162">
        <f>SUMPRODUCT((区片价!B290:B316=I2)*(区片价!C3:F3=E2)*(区片价!C290:F316))</f>
        <v>0</v>
      </c>
      <c r="N10" s="2164">
        <f>SUMPRODUCT((因素修正幅度!B290:B316=I2)*(因素修正幅度!C3:F3=E2)*(因素修正幅度!C290:F316))</f>
        <v>0</v>
      </c>
      <c r="O10" s="2409"/>
      <c r="P10" s="2409"/>
      <c r="Q10" s="2409"/>
      <c r="R10" s="3118">
        <v>9</v>
      </c>
      <c r="S10" s="3119">
        <v>0.6452</v>
      </c>
      <c r="T10" s="3118" t="e">
        <f t="shared" si="0"/>
        <v>#DIV/0!</v>
      </c>
      <c r="U10" s="3119"/>
      <c r="V10" s="3118" t="e">
        <f t="shared" si="1"/>
        <v>#DIV/0!</v>
      </c>
      <c r="W10" s="3769"/>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758"/>
      <c r="B11" s="1680" t="s">
        <v>2158</v>
      </c>
      <c r="C11" s="1681">
        <f>C10/4</f>
        <v>0</v>
      </c>
      <c r="D11" s="1681" t="s">
        <v>1491</v>
      </c>
      <c r="E11" s="1681">
        <f>ROUND(C11/E7,4)</f>
        <v>0</v>
      </c>
      <c r="F11" s="1682" t="s">
        <v>2159</v>
      </c>
      <c r="G11" s="1683"/>
      <c r="H11" s="1683"/>
      <c r="I11" s="1683"/>
      <c r="J11" s="1684"/>
      <c r="K11" s="2409"/>
      <c r="L11" s="1908" t="s">
        <v>2299</v>
      </c>
      <c r="M11" s="2162">
        <f>SUMPRODUCT((区片价!B317:B337=I2)*(区片价!C3:F3=E2)*(区片价!C317:F337))</f>
        <v>0</v>
      </c>
      <c r="N11" s="2164">
        <f>SUMPRODUCT((因素修正幅度!B317:B337=I2)*(因素修正幅度!C3:F3=E2)*(因素修正幅度!C317:F337))</f>
        <v>0</v>
      </c>
      <c r="O11" s="2409"/>
      <c r="P11" s="2409"/>
      <c r="Q11" s="2409"/>
      <c r="R11" s="3118">
        <v>10</v>
      </c>
      <c r="S11" s="3119">
        <v>0.64419999999999999</v>
      </c>
      <c r="T11" s="3118" t="e">
        <f t="shared" si="0"/>
        <v>#DIV/0!</v>
      </c>
      <c r="U11" s="3119"/>
      <c r="V11" s="3118" t="e">
        <f t="shared" si="1"/>
        <v>#DIV/0!</v>
      </c>
      <c r="W11" s="3769" t="s">
        <v>3306</v>
      </c>
      <c r="X11" s="3135" t="s">
        <v>3303</v>
      </c>
      <c r="Y11" s="3136">
        <f>$G$3</f>
        <v>5.84</v>
      </c>
      <c r="Z11" s="3136">
        <f t="shared" ref="Z11:AJ11" si="3">$G$3</f>
        <v>5.84</v>
      </c>
      <c r="AA11" s="3136">
        <f t="shared" si="3"/>
        <v>5.84</v>
      </c>
      <c r="AB11" s="3136">
        <f t="shared" si="3"/>
        <v>5.84</v>
      </c>
      <c r="AC11" s="3136">
        <f t="shared" si="3"/>
        <v>5.84</v>
      </c>
      <c r="AD11" s="3136">
        <f t="shared" si="3"/>
        <v>5.84</v>
      </c>
      <c r="AE11" s="3136">
        <f t="shared" si="3"/>
        <v>5.84</v>
      </c>
      <c r="AF11" s="3136">
        <f t="shared" si="3"/>
        <v>5.84</v>
      </c>
      <c r="AG11" s="3136">
        <f t="shared" si="3"/>
        <v>5.84</v>
      </c>
      <c r="AH11" s="3136">
        <f t="shared" si="3"/>
        <v>5.84</v>
      </c>
      <c r="AI11" s="3136">
        <f t="shared" si="3"/>
        <v>5.84</v>
      </c>
      <c r="AJ11" s="3136">
        <f t="shared" si="3"/>
        <v>5.84</v>
      </c>
    </row>
    <row r="12" spans="1:36" ht="26.25" thickBot="1">
      <c r="A12" s="3757" t="s">
        <v>2297</v>
      </c>
      <c r="B12" s="1685" t="s">
        <v>2160</v>
      </c>
      <c r="C12" s="1669">
        <f>ROUND(C15*D15*E15*F15*G15*H15*I15*J15,4)</f>
        <v>1.32</v>
      </c>
      <c r="D12" s="1686" t="s">
        <v>2161</v>
      </c>
      <c r="E12" s="1687"/>
      <c r="F12" s="1687"/>
      <c r="G12" s="1688"/>
      <c r="H12" s="1688"/>
      <c r="I12" s="1688"/>
      <c r="J12" s="1689"/>
      <c r="K12" s="2409"/>
      <c r="L12" s="1909" t="s">
        <v>2300</v>
      </c>
      <c r="M12" s="2163">
        <f>SUMPRODUCT((区片价!B338:B344=I2)*(区片价!C3:F3=E2)*(区片价!C338:F344))</f>
        <v>0</v>
      </c>
      <c r="N12" s="2164">
        <f>SUMPRODUCT((因素修正幅度!B338:B344=I2)*(因素修正幅度!C3:F3=E2)*(因素修正幅度!C338:F344))</f>
        <v>0</v>
      </c>
      <c r="O12" s="2409"/>
      <c r="P12" s="2409"/>
      <c r="Q12" s="2409"/>
      <c r="R12" s="3118">
        <v>11</v>
      </c>
      <c r="S12" s="3119">
        <v>0.6431</v>
      </c>
      <c r="T12" s="3118" t="e">
        <f t="shared" si="0"/>
        <v>#DIV/0!</v>
      </c>
      <c r="U12" s="3119"/>
      <c r="V12" s="3118" t="e">
        <f t="shared" si="1"/>
        <v>#DIV/0!</v>
      </c>
      <c r="W12" s="3769"/>
      <c r="X12" s="3137" t="s">
        <v>2114</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774"/>
      <c r="B13" s="1690" t="s">
        <v>2162</v>
      </c>
      <c r="C13" s="1691" t="s">
        <v>2163</v>
      </c>
      <c r="D13" s="1692" t="s">
        <v>2164</v>
      </c>
      <c r="E13" s="1692" t="s">
        <v>2165</v>
      </c>
      <c r="F13" s="81" t="s">
        <v>1492</v>
      </c>
      <c r="G13" s="1811" t="s">
        <v>2218</v>
      </c>
      <c r="H13" s="1811" t="s">
        <v>2218</v>
      </c>
      <c r="I13" s="1811" t="s">
        <v>2218</v>
      </c>
      <c r="J13" s="1812" t="s">
        <v>2218</v>
      </c>
      <c r="K13" s="2409"/>
      <c r="L13" s="2409"/>
      <c r="M13" s="2409"/>
      <c r="N13" s="2409"/>
      <c r="O13" s="2409"/>
      <c r="P13" s="2409"/>
      <c r="Q13" s="2409"/>
      <c r="R13" s="3118">
        <v>12</v>
      </c>
      <c r="S13" s="3119">
        <v>0.64200000000000002</v>
      </c>
      <c r="T13" s="3118" t="e">
        <f t="shared" si="0"/>
        <v>#DIV/0!</v>
      </c>
      <c r="U13" s="3119"/>
      <c r="V13" s="3118" t="e">
        <f t="shared" si="1"/>
        <v>#DIV/0!</v>
      </c>
      <c r="W13" s="3769"/>
      <c r="X13" s="3137"/>
      <c r="Y13" s="3134">
        <f>(-0.163*(Y12^2)-0.59*Y12+7617)*(10^(-4))/Y11</f>
        <v>0.12964854452054797</v>
      </c>
      <c r="Z13" s="3134">
        <f t="shared" ref="Z13:AJ13" si="5">(-0.163*(Z12^2)-0.59*Z12+7617)*(10^(-4))/Z11</f>
        <v>0.12964854452054797</v>
      </c>
      <c r="AA13" s="3134">
        <f t="shared" si="5"/>
        <v>0.12964854452054797</v>
      </c>
      <c r="AB13" s="3134">
        <f t="shared" si="5"/>
        <v>0.12964854452054797</v>
      </c>
      <c r="AC13" s="3134">
        <f t="shared" si="5"/>
        <v>0.12964854452054797</v>
      </c>
      <c r="AD13" s="3134">
        <f t="shared" si="5"/>
        <v>0.12964854452054797</v>
      </c>
      <c r="AE13" s="3134">
        <f t="shared" si="5"/>
        <v>0.12964854452054797</v>
      </c>
      <c r="AF13" s="3134">
        <f t="shared" si="5"/>
        <v>0.12964854452054797</v>
      </c>
      <c r="AG13" s="3134">
        <f t="shared" si="5"/>
        <v>0.12964854452054797</v>
      </c>
      <c r="AH13" s="3134">
        <f t="shared" si="5"/>
        <v>0.12964854452054797</v>
      </c>
      <c r="AI13" s="3134">
        <f t="shared" si="5"/>
        <v>0.12964854452054797</v>
      </c>
      <c r="AJ13" s="3134">
        <f t="shared" si="5"/>
        <v>0.12964854452054797</v>
      </c>
    </row>
    <row r="14" spans="1:36" ht="15">
      <c r="A14" s="3774"/>
      <c r="B14" s="1693"/>
      <c r="C14" s="1813" t="s">
        <v>238</v>
      </c>
      <c r="D14" s="1509" t="s">
        <v>239</v>
      </c>
      <c r="E14" s="1509" t="s">
        <v>239</v>
      </c>
      <c r="F14" s="1814" t="s">
        <v>1493</v>
      </c>
      <c r="G14" s="1694" t="s">
        <v>2194</v>
      </c>
      <c r="H14" s="1695"/>
      <c r="I14" s="1696"/>
      <c r="J14" s="1697"/>
      <c r="K14" s="2409"/>
      <c r="L14" s="2409"/>
      <c r="M14" s="2409"/>
      <c r="N14" s="2409"/>
      <c r="O14" s="2409"/>
      <c r="P14" s="2409"/>
      <c r="Q14" s="2409"/>
      <c r="R14" s="3118">
        <v>13</v>
      </c>
      <c r="S14" s="3119">
        <v>0.64080000000000004</v>
      </c>
      <c r="T14" s="3118" t="e">
        <f t="shared" si="0"/>
        <v>#DIV/0!</v>
      </c>
      <c r="U14" s="3119"/>
      <c r="V14" s="3118" t="e">
        <f t="shared" si="1"/>
        <v>#DIV/0!</v>
      </c>
      <c r="W14" s="3114"/>
      <c r="X14" s="3114"/>
      <c r="Y14" s="3114"/>
      <c r="Z14" s="3114"/>
      <c r="AA14" s="3114"/>
      <c r="AB14" s="3114"/>
      <c r="AC14" s="3115"/>
      <c r="AD14" s="3116"/>
      <c r="AE14" s="3116"/>
      <c r="AF14" s="3116"/>
      <c r="AG14" s="3116"/>
      <c r="AH14" s="3116"/>
      <c r="AI14" s="3116"/>
      <c r="AJ14" s="3117"/>
    </row>
    <row r="15" spans="1:36" ht="15.75" thickBot="1">
      <c r="A15" s="3775"/>
      <c r="B15" s="1698" t="s">
        <v>2166</v>
      </c>
      <c r="C15" s="565">
        <f>IF(C14="有",1.1,1)</f>
        <v>1.1000000000000001</v>
      </c>
      <c r="D15" s="565">
        <f>IF(D14="有",1.1,1)</f>
        <v>1</v>
      </c>
      <c r="E15" s="565">
        <f>IF(E14="有",1.1,1)</f>
        <v>1</v>
      </c>
      <c r="F15" s="565">
        <f>IF(F14="500米范围内",1.2,IF(F14="500-1000米",1.1,1))</f>
        <v>1.2</v>
      </c>
      <c r="G15" s="1815">
        <v>1</v>
      </c>
      <c r="H15" s="1815">
        <v>1</v>
      </c>
      <c r="I15" s="1815">
        <v>1</v>
      </c>
      <c r="J15" s="1816">
        <v>1</v>
      </c>
      <c r="K15" s="2409"/>
      <c r="L15" s="1729" t="s">
        <v>2183</v>
      </c>
      <c r="M15" s="1730" t="s">
        <v>2184</v>
      </c>
      <c r="N15" s="1730" t="s">
        <v>2185</v>
      </c>
      <c r="O15" s="1730" t="s">
        <v>1217</v>
      </c>
      <c r="P15" s="1731" t="s">
        <v>2186</v>
      </c>
      <c r="Q15" s="2409"/>
      <c r="R15" s="3118">
        <v>14</v>
      </c>
      <c r="S15" s="3119">
        <v>0.63959999999999995</v>
      </c>
      <c r="T15" s="3118" t="e">
        <f t="shared" si="0"/>
        <v>#DIV/0!</v>
      </c>
      <c r="U15" s="3119"/>
      <c r="V15" s="3118" t="e">
        <f t="shared" si="1"/>
        <v>#DIV/0!</v>
      </c>
      <c r="W15" s="3114"/>
      <c r="X15" s="3114"/>
      <c r="Y15" s="3114"/>
      <c r="Z15" s="3114"/>
      <c r="AA15" s="3114"/>
      <c r="AB15" s="3114"/>
      <c r="AC15" s="3115"/>
      <c r="AD15" s="3116"/>
      <c r="AE15" s="3116"/>
      <c r="AF15" s="3116"/>
      <c r="AG15" s="3116"/>
      <c r="AH15" s="3116"/>
      <c r="AI15" s="3116"/>
      <c r="AJ15" s="3117"/>
    </row>
    <row r="16" spans="1:36" ht="24">
      <c r="A16" s="3757" t="s">
        <v>2298</v>
      </c>
      <c r="B16" s="1668" t="s">
        <v>2167</v>
      </c>
      <c r="C16" s="1801">
        <f>ROUND(SUM(G17:J17)/C17,0)</f>
        <v>0</v>
      </c>
      <c r="D16" s="1699" t="s">
        <v>2168</v>
      </c>
      <c r="E16" s="1817" t="s">
        <v>2171</v>
      </c>
      <c r="F16" s="1818" t="s">
        <v>2221</v>
      </c>
      <c r="G16" s="1819" t="s">
        <v>755</v>
      </c>
      <c r="H16" s="1819" t="s">
        <v>755</v>
      </c>
      <c r="I16" s="1819" t="s">
        <v>755</v>
      </c>
      <c r="J16" s="1820" t="s">
        <v>755</v>
      </c>
      <c r="K16" s="2409"/>
      <c r="L16" s="1735" t="s">
        <v>2188</v>
      </c>
      <c r="M16" s="1679">
        <v>0.25</v>
      </c>
      <c r="N16" s="1679">
        <v>0.2</v>
      </c>
      <c r="O16" s="1679">
        <v>0.15</v>
      </c>
      <c r="P16" s="2768">
        <v>0.1</v>
      </c>
      <c r="Q16" s="2769"/>
      <c r="R16" s="3118">
        <v>15</v>
      </c>
      <c r="S16" s="3119">
        <v>0.63839999999999997</v>
      </c>
      <c r="T16" s="3118" t="e">
        <f t="shared" si="0"/>
        <v>#DIV/0!</v>
      </c>
      <c r="U16" s="3119"/>
      <c r="V16" s="3118" t="e">
        <f t="shared" si="1"/>
        <v>#DIV/0!</v>
      </c>
      <c r="W16" s="3126"/>
      <c r="X16" s="3126"/>
      <c r="Y16" s="3126"/>
      <c r="Z16" s="3126"/>
      <c r="AA16" s="3126"/>
      <c r="AB16" s="3126"/>
      <c r="AC16" s="3127"/>
      <c r="AD16" s="3116"/>
      <c r="AE16" s="3116"/>
      <c r="AF16" s="3116"/>
      <c r="AG16" s="3116"/>
      <c r="AH16" s="3116"/>
      <c r="AI16" s="3116"/>
      <c r="AJ16" s="3117"/>
    </row>
    <row r="17" spans="1:37" ht="13.5" thickBot="1">
      <c r="A17" s="3758"/>
      <c r="B17" s="1700" t="s">
        <v>2169</v>
      </c>
      <c r="C17" s="1701">
        <f>SUMPRODUCT((修正!A2:A5=E2)*(修正!B1:M1=G2)*(修正!B2:M5))</f>
        <v>2</v>
      </c>
      <c r="D17" s="1702" t="s">
        <v>2170</v>
      </c>
      <c r="E17" s="1772" t="str">
        <f>IF(OR(G2="八级",G2="九级",G2="十级",G2="十一级",G2="十二级"),"五通一平","七通一平")</f>
        <v>五通一平</v>
      </c>
      <c r="F17" s="1703" t="s">
        <v>2172</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9"/>
      <c r="L17" s="1742" t="s">
        <v>2177</v>
      </c>
      <c r="M17" s="547">
        <f>ROUND($E$20*(1+M16),3)</f>
        <v>5.3999999999999999E-2</v>
      </c>
      <c r="N17" s="547">
        <f>ROUND($E$20*(1+N16),3)</f>
        <v>5.1999999999999998E-2</v>
      </c>
      <c r="O17" s="547">
        <f>ROUND($E$20*(1+O16),3)</f>
        <v>0.05</v>
      </c>
      <c r="P17" s="2772">
        <f>ROUND($E$20*(1+P16),3)</f>
        <v>4.8000000000000001E-2</v>
      </c>
      <c r="Q17" s="2769"/>
      <c r="R17" s="2769"/>
      <c r="S17" s="2769"/>
      <c r="T17" s="2769"/>
      <c r="U17" s="2769"/>
      <c r="V17" s="2769"/>
      <c r="W17" s="2769"/>
      <c r="X17" s="2769"/>
      <c r="Y17" s="2769"/>
      <c r="Z17" s="2770"/>
      <c r="AA17" s="2771"/>
      <c r="AB17" s="2771"/>
      <c r="AC17" s="2771"/>
      <c r="AD17" s="2771"/>
      <c r="AE17" s="1646"/>
      <c r="AF17" s="1646"/>
      <c r="AG17" s="1649"/>
      <c r="AH17" s="1649"/>
      <c r="AI17" s="1649"/>
      <c r="AJ17" s="1649"/>
    </row>
    <row r="18" spans="1:37" s="1661" customFormat="1" ht="15.75" thickBot="1">
      <c r="A18" s="1902" t="s">
        <v>2290</v>
      </c>
      <c r="B18" s="1705" t="s">
        <v>2173</v>
      </c>
      <c r="C18" s="1706">
        <f>SUMIF(修正!C18:C39,E3,修正!E18:E39)</f>
        <v>1.1000000000000001</v>
      </c>
      <c r="D18" s="1707"/>
      <c r="E18" s="1708"/>
      <c r="F18" s="1709"/>
      <c r="G18" s="1710"/>
      <c r="H18" s="1710"/>
      <c r="I18" s="1710"/>
      <c r="J18" s="1711"/>
      <c r="K18" s="2416"/>
      <c r="O18" s="2774"/>
      <c r="P18" s="2774"/>
      <c r="Q18" s="2775"/>
      <c r="R18" s="2775"/>
      <c r="S18" s="2775"/>
      <c r="T18" s="2770"/>
      <c r="U18" s="2770"/>
      <c r="V18" s="2770"/>
      <c r="W18" s="2769"/>
      <c r="X18" s="2769"/>
      <c r="Y18" s="2769"/>
      <c r="Z18" s="2776"/>
      <c r="AA18" s="2777"/>
      <c r="AB18" s="2777"/>
      <c r="AC18" s="2777"/>
      <c r="AD18" s="2777"/>
      <c r="AE18" s="1647"/>
      <c r="AF18" s="1647"/>
      <c r="AG18" s="1648"/>
      <c r="AH18" s="1648"/>
      <c r="AI18" s="1648"/>
    </row>
    <row r="19" spans="1:37" s="1661" customFormat="1" ht="27.75" thickBot="1">
      <c r="A19" s="1902" t="s">
        <v>2291</v>
      </c>
      <c r="B19" s="1705" t="s">
        <v>2174</v>
      </c>
      <c r="C19" s="1714">
        <f>ROUND(IF(H19="按公示增长率计算",SUMPRODUCT((地价!A3:A19=YEAR(G19)&amp;"-"&amp;ROUNDUP(MONTH(G19)/3,0))*(地价!X2:AB2=E2)*(地价!X3:AB19)),IF(H19="地价指数",M20/M19,(1+I19)^O19)),4)</f>
        <v>0</v>
      </c>
      <c r="D19" s="1715" t="s">
        <v>1494</v>
      </c>
      <c r="E19" s="1716">
        <v>41640</v>
      </c>
      <c r="F19" s="1715" t="s">
        <v>1495</v>
      </c>
      <c r="G19" s="1717">
        <f>'数据-取费表'!B2</f>
        <v>42959</v>
      </c>
      <c r="H19" s="3060" t="s">
        <v>3368</v>
      </c>
      <c r="I19" s="1718" t="str">
        <f>IF(H19="季度增幅（自定义）",SUMIF(N21:N24,E2,O21:O24),"")</f>
        <v/>
      </c>
      <c r="J19" s="1711"/>
      <c r="K19" s="2416"/>
      <c r="L19" s="3288" t="s">
        <v>3366</v>
      </c>
      <c r="M19" s="3290">
        <f>ROUND(SUMIF(地价!B2:F2,E2,地价!B19:F19),0)</f>
        <v>258</v>
      </c>
      <c r="N19" s="3286" t="s">
        <v>2220</v>
      </c>
      <c r="O19" s="1719">
        <f>ROUNDDOWN(DATEDIF(E19,G19,"M")/3,0)</f>
        <v>14</v>
      </c>
      <c r="P19" s="2773"/>
      <c r="Q19" s="2775"/>
      <c r="R19" s="2775"/>
      <c r="S19" s="2775"/>
      <c r="T19" s="2770"/>
      <c r="U19" s="2770"/>
      <c r="V19" s="2770"/>
      <c r="W19" s="2769"/>
      <c r="X19" s="2769"/>
      <c r="Y19" s="2769"/>
      <c r="Z19" s="2776"/>
      <c r="AA19" s="2777"/>
      <c r="AB19" s="2777"/>
      <c r="AC19" s="2777"/>
      <c r="AD19" s="2777"/>
      <c r="AE19" s="1712"/>
      <c r="AF19" s="1713"/>
      <c r="AG19" s="1720"/>
      <c r="AH19" s="1648"/>
      <c r="AI19" s="1660"/>
      <c r="AJ19" s="1660"/>
      <c r="AK19" s="1660"/>
    </row>
    <row r="20" spans="1:37" s="1661" customFormat="1" ht="27.75" thickBot="1">
      <c r="A20" s="1903" t="s">
        <v>2292</v>
      </c>
      <c r="B20" s="1774" t="s">
        <v>2175</v>
      </c>
      <c r="C20" s="1721" t="e">
        <f>ROUND(POWER(1+G20,J20-I20)*(POWER(1+G20,I20)-1)/(POWER(1+G20,J20)-1),4)</f>
        <v>#DIV/0!</v>
      </c>
      <c r="D20" s="1775" t="s">
        <v>2176</v>
      </c>
      <c r="E20" s="2635">
        <v>4.3499999999999997E-2</v>
      </c>
      <c r="F20" s="1775" t="s">
        <v>2177</v>
      </c>
      <c r="G20" s="1776">
        <f>SUMIF(M15:P15,E2,M17:P17)</f>
        <v>5.1999999999999998E-2</v>
      </c>
      <c r="H20" s="1775" t="s">
        <v>2178</v>
      </c>
      <c r="I20" s="1777" t="e">
        <f>SUMIF('数据-取费表'!C6:C15,E2,'数据-取费表'!F6:F15)/COUNTIF('数据-取费表'!C6:C15,E2)</f>
        <v>#DIV/0!</v>
      </c>
      <c r="J20" s="1778">
        <f>IF(E2="住宅",70,IF(E2="商业",40,50))</f>
        <v>50</v>
      </c>
      <c r="K20" s="2416"/>
      <c r="L20" s="3289" t="s">
        <v>3367</v>
      </c>
      <c r="M20" s="3291">
        <f>ROUND(SUMPRODUCT((地价!A4:A19=YEAR(G19)&amp;"-"&amp;ROUNDUP(MONTH(G19)/3,0))*(地价!B2:F2=E2)*(地价!B4:F19)),0)</f>
        <v>0</v>
      </c>
      <c r="N20" s="3287" t="s">
        <v>3190</v>
      </c>
      <c r="O20" s="3061" t="s">
        <v>3191</v>
      </c>
      <c r="P20" s="3062" t="s">
        <v>3200</v>
      </c>
      <c r="R20" s="2775"/>
      <c r="S20" s="2775"/>
      <c r="T20" s="2770"/>
      <c r="U20" s="2770"/>
      <c r="V20" s="2770"/>
      <c r="W20" s="2769"/>
      <c r="X20" s="2769"/>
      <c r="Y20" s="2769"/>
      <c r="Z20" s="2776"/>
      <c r="AA20" s="2777"/>
      <c r="AB20" s="2777"/>
      <c r="AC20" s="2777"/>
      <c r="AD20" s="2777"/>
      <c r="AE20" s="1712"/>
      <c r="AF20" s="1712"/>
    </row>
    <row r="21" spans="1:37" s="1661" customFormat="1" ht="14.25">
      <c r="A21" s="1904" t="s">
        <v>2293</v>
      </c>
      <c r="B21" s="1821" t="s">
        <v>2889</v>
      </c>
      <c r="C21" s="1779">
        <f>IF(B21="容积率修正",IF(G3&lt;=10,D22,J22),C23)</f>
        <v>1.0072000000000001</v>
      </c>
      <c r="D21" s="1780"/>
      <c r="E21" s="1780"/>
      <c r="F21" s="1780"/>
      <c r="G21" s="1780"/>
      <c r="H21" s="1780"/>
      <c r="I21" s="1780"/>
      <c r="J21" s="1781"/>
      <c r="K21" s="2416"/>
      <c r="N21" s="3063" t="s">
        <v>3192</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2"/>
      <c r="AF21" s="1712"/>
    </row>
    <row r="22" spans="1:37" s="1661" customFormat="1" ht="14.25">
      <c r="A22" s="190" t="s">
        <v>2296</v>
      </c>
      <c r="B22" s="1723" t="s">
        <v>2179</v>
      </c>
      <c r="C22" s="1802" t="s">
        <v>2192</v>
      </c>
      <c r="D22" s="1802">
        <f>IF(E22=G22,F22,IF(G3&lt;=10,ROUND(F22+(H22-F22)*(G3-E22)/(G22-E22),4),"——"))</f>
        <v>0.70760000000000001</v>
      </c>
      <c r="E22" s="1652">
        <f>ROUNDDOWN(G3,1)</f>
        <v>5.8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0.70879999999999999</v>
      </c>
      <c r="G22" s="1652">
        <f>ROUNDUP(G3,1)</f>
        <v>5.8999999999999995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0.70579999999999998</v>
      </c>
      <c r="I22" s="1802" t="s">
        <v>1508</v>
      </c>
      <c r="J22" s="1782" t="str">
        <f>IF(G3&gt;10,D113,"——")</f>
        <v>——</v>
      </c>
      <c r="K22" s="2416"/>
      <c r="N22" s="3063" t="s">
        <v>3193</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2"/>
      <c r="AF22" s="1712"/>
    </row>
    <row r="23" spans="1:37" ht="27.75" thickBot="1">
      <c r="A23" s="190" t="s">
        <v>2297</v>
      </c>
      <c r="B23" s="1894" t="s">
        <v>2180</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8"/>
    </row>
    <row r="24" spans="1:37" s="1661" customFormat="1" ht="15.75" thickBot="1">
      <c r="A24" s="1903" t="s">
        <v>2294</v>
      </c>
      <c r="B24" s="1705" t="s">
        <v>2181</v>
      </c>
      <c r="C24" s="1714">
        <f>SUMIF(A45:A88,E2,B45:B88)</f>
        <v>1</v>
      </c>
      <c r="D24" s="1709"/>
      <c r="E24" s="1899"/>
      <c r="F24" s="1899"/>
      <c r="G24" s="1899"/>
      <c r="H24" s="1899"/>
      <c r="I24" s="1899"/>
      <c r="J24" s="1900"/>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2"/>
      <c r="AF24" s="1712"/>
    </row>
    <row r="25" spans="1:37" ht="15" thickBot="1">
      <c r="A25" s="1903" t="s">
        <v>2295</v>
      </c>
      <c r="B25" s="1726" t="s">
        <v>2182</v>
      </c>
      <c r="C25" s="1727"/>
      <c r="D25" s="1672"/>
      <c r="E25" s="1672"/>
      <c r="F25" s="1728"/>
      <c r="G25" s="1672"/>
      <c r="H25" s="1672"/>
      <c r="I25" s="1672"/>
      <c r="J25" s="1673"/>
      <c r="K25" s="2409"/>
      <c r="N25" s="3070" t="s">
        <v>3194</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6"/>
      <c r="B26" s="1723" t="s">
        <v>2214</v>
      </c>
      <c r="C26" s="542" t="e">
        <f>E29+SUM(E33:E39)</f>
        <v>#DIV/0!</v>
      </c>
      <c r="D26" s="1732"/>
      <c r="E26" s="1695"/>
      <c r="F26" s="1733"/>
      <c r="G26" s="1695"/>
      <c r="H26" s="1695"/>
      <c r="I26" s="1695"/>
      <c r="J26" s="1734"/>
      <c r="K26" s="2409"/>
      <c r="R26" s="2775"/>
      <c r="S26" s="2775"/>
      <c r="T26" s="2770"/>
      <c r="U26" s="2770"/>
      <c r="V26" s="2770"/>
      <c r="W26" s="2769"/>
      <c r="X26" s="2769"/>
      <c r="Y26" s="2769"/>
      <c r="Z26" s="2776"/>
      <c r="AA26" s="2777"/>
      <c r="AB26" s="2777"/>
      <c r="AC26" s="2777"/>
      <c r="AD26" s="2777"/>
    </row>
    <row r="27" spans="1:37" ht="15" thickBot="1">
      <c r="A27" s="1906"/>
      <c r="B27" s="1736" t="s">
        <v>2215</v>
      </c>
      <c r="C27" s="1737" t="e">
        <f>E30+SUM(I33:I39)</f>
        <v>#DIV/0!</v>
      </c>
      <c r="D27" s="1738"/>
      <c r="E27" s="1739"/>
      <c r="F27" s="1740"/>
      <c r="G27" s="1739"/>
      <c r="H27" s="1739"/>
      <c r="I27" s="1739"/>
      <c r="J27" s="1741"/>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14.25">
      <c r="A28" s="1893"/>
      <c r="B28" s="1743" t="s">
        <v>2213</v>
      </c>
      <c r="C28" s="1744" t="s">
        <v>2187</v>
      </c>
      <c r="D28" s="1744" t="s">
        <v>2204</v>
      </c>
      <c r="E28" s="1745" t="s">
        <v>2205</v>
      </c>
      <c r="F28" s="1746"/>
      <c r="G28" s="1688"/>
      <c r="H28" s="1688"/>
      <c r="I28" s="1688"/>
      <c r="J28" s="1689"/>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4">
      <c r="A29" s="1803"/>
      <c r="B29" s="1747" t="s">
        <v>2208</v>
      </c>
      <c r="C29" s="542" t="e">
        <f>ROUND(C5*C18*C19*C20*C21*C24,0)</f>
        <v>#DIV/0!</v>
      </c>
      <c r="D29" s="1770"/>
      <c r="E29" s="1804" t="e">
        <f>ROUND(C29*D29/10000,0)</f>
        <v>#DIV/0!</v>
      </c>
      <c r="F29" s="1748" t="s">
        <v>2189</v>
      </c>
      <c r="G29" s="1749"/>
      <c r="H29" s="1749"/>
      <c r="I29" s="1749"/>
      <c r="J29" s="1750"/>
      <c r="K29" s="2409"/>
      <c r="L29" s="2409"/>
      <c r="M29" s="2409"/>
      <c r="N29" s="2409"/>
      <c r="O29" s="2774"/>
      <c r="P29" s="2774"/>
      <c r="Q29" s="2775"/>
      <c r="R29" s="2775"/>
      <c r="S29" s="2775"/>
      <c r="T29" s="2770"/>
      <c r="U29" s="2770"/>
      <c r="V29" s="2770"/>
      <c r="W29" s="2769"/>
      <c r="X29" s="2769"/>
      <c r="Y29" s="2769"/>
      <c r="Z29" s="2776"/>
      <c r="AA29" s="2777"/>
      <c r="AB29" s="2777"/>
      <c r="AC29" s="2777"/>
      <c r="AD29" s="2777"/>
      <c r="AE29" s="1646"/>
      <c r="AF29" s="1646"/>
      <c r="AG29" s="1649"/>
      <c r="AH29" s="1649"/>
      <c r="AI29" s="1649"/>
      <c r="AJ29" s="1649"/>
    </row>
    <row r="30" spans="1:37" ht="24.75" thickBot="1">
      <c r="A30" s="1751"/>
      <c r="B30" s="1752" t="s">
        <v>2209</v>
      </c>
      <c r="C30" s="565" t="e">
        <f>ROUND(IF(E2="工业",C29*M39,C29*M38),0)</f>
        <v>#DIV/0!</v>
      </c>
      <c r="D30" s="1771"/>
      <c r="E30" s="1804" t="e">
        <f>ROUND(C30*D30/10000,0)</f>
        <v>#DIV/0!</v>
      </c>
      <c r="F30" s="1753" t="s">
        <v>2206</v>
      </c>
      <c r="G30" s="1754"/>
      <c r="H30" s="1754"/>
      <c r="I30" s="1754"/>
      <c r="J30" s="1755"/>
      <c r="K30" s="2409"/>
      <c r="L30" s="2409"/>
      <c r="M30" s="2409"/>
      <c r="N30" s="2409"/>
      <c r="O30" s="2774"/>
      <c r="P30" s="2774"/>
      <c r="Q30" s="2775"/>
      <c r="R30" s="2775"/>
      <c r="S30" s="2775"/>
      <c r="T30" s="2770"/>
      <c r="U30" s="2770"/>
      <c r="V30" s="2770"/>
      <c r="W30" s="2769"/>
      <c r="X30" s="2769"/>
      <c r="Y30" s="2769"/>
      <c r="Z30" s="2776"/>
      <c r="AA30" s="2777"/>
      <c r="AB30" s="2777"/>
      <c r="AC30" s="2777"/>
      <c r="AD30" s="2777"/>
      <c r="AE30" s="1646"/>
      <c r="AF30" s="1646"/>
      <c r="AG30" s="1649"/>
      <c r="AH30" s="1649"/>
      <c r="AI30" s="1649"/>
      <c r="AJ30" s="1649"/>
    </row>
    <row r="31" spans="1:37" ht="14.25">
      <c r="A31" s="1756"/>
      <c r="B31" s="1757" t="s">
        <v>2210</v>
      </c>
      <c r="C31" s="1758" t="s">
        <v>2211</v>
      </c>
      <c r="D31" s="1688"/>
      <c r="E31" s="1758"/>
      <c r="F31" s="1758"/>
      <c r="G31" s="1686" t="s">
        <v>2212</v>
      </c>
      <c r="H31" s="1688"/>
      <c r="I31" s="1759"/>
      <c r="J31" s="1689"/>
      <c r="K31" s="2409"/>
      <c r="L31" s="2409"/>
      <c r="M31" s="2409"/>
      <c r="N31" s="2409"/>
      <c r="O31" s="2774"/>
      <c r="P31" s="2774"/>
      <c r="Q31" s="2775"/>
      <c r="R31" s="2775"/>
      <c r="S31" s="2775"/>
      <c r="T31" s="2770"/>
      <c r="U31" s="2770"/>
      <c r="V31" s="2770"/>
      <c r="W31" s="2769"/>
      <c r="X31" s="2769"/>
      <c r="Y31" s="2769"/>
      <c r="Z31" s="2776"/>
      <c r="AA31" s="2777"/>
      <c r="AB31" s="2777"/>
      <c r="AC31" s="2777"/>
      <c r="AD31" s="2777"/>
      <c r="AE31" s="1646"/>
      <c r="AF31" s="1646"/>
      <c r="AG31" s="1649"/>
      <c r="AH31" s="1649"/>
      <c r="AI31" s="1649"/>
      <c r="AJ31" s="1649"/>
    </row>
    <row r="32" spans="1:37" ht="24">
      <c r="A32" s="1803"/>
      <c r="B32" s="1760"/>
      <c r="C32" s="171" t="s">
        <v>2187</v>
      </c>
      <c r="D32" s="168" t="s">
        <v>2204</v>
      </c>
      <c r="E32" s="168" t="s">
        <v>2205</v>
      </c>
      <c r="F32" s="1761" t="s">
        <v>2191</v>
      </c>
      <c r="G32" s="1722" t="s">
        <v>2187</v>
      </c>
      <c r="H32" s="1722" t="s">
        <v>2204</v>
      </c>
      <c r="I32" s="1722" t="s">
        <v>2205</v>
      </c>
      <c r="J32" s="1762"/>
      <c r="K32" s="2409"/>
      <c r="L32" s="2409"/>
      <c r="M32" s="2409"/>
      <c r="N32" s="2409"/>
      <c r="O32" s="2774"/>
      <c r="P32" s="2774"/>
      <c r="Q32" s="2775"/>
      <c r="R32" s="2775"/>
      <c r="S32" s="2775"/>
      <c r="T32" s="2770"/>
      <c r="U32" s="2770"/>
      <c r="V32" s="2770"/>
      <c r="W32" s="2769"/>
      <c r="X32" s="2769"/>
      <c r="Y32" s="2769"/>
      <c r="Z32" s="2776"/>
      <c r="AA32" s="2777"/>
      <c r="AB32" s="2777"/>
      <c r="AC32" s="2777"/>
      <c r="AD32" s="2777"/>
      <c r="AE32" s="1646"/>
      <c r="AF32" s="1646"/>
      <c r="AG32" s="1649"/>
      <c r="AH32" s="1649"/>
      <c r="AI32" s="1649"/>
      <c r="AJ32" s="1649"/>
    </row>
    <row r="33" spans="1:37" ht="14.25">
      <c r="A33" s="1763"/>
      <c r="B33" s="1764" t="s">
        <v>1510</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3"/>
      <c r="B34" s="1691" t="s">
        <v>1511</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3"/>
      <c r="B35" s="1691" t="s">
        <v>1512</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9"/>
      <c r="L35" s="2409"/>
      <c r="M35" s="2409"/>
      <c r="N35" s="2409"/>
      <c r="O35" s="2409"/>
      <c r="P35" s="2409"/>
      <c r="Q35" s="2409"/>
      <c r="R35" s="2409"/>
      <c r="S35" s="2409"/>
      <c r="T35" s="2409"/>
      <c r="U35" s="2409"/>
      <c r="V35" s="2409"/>
      <c r="W35" s="2409"/>
      <c r="X35" s="2409"/>
      <c r="Y35" s="2409"/>
      <c r="Z35" s="2410"/>
    </row>
    <row r="36" spans="1:37" ht="13.5" thickBot="1">
      <c r="A36" s="1763"/>
      <c r="B36" s="1691" t="s">
        <v>1513</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9"/>
      <c r="L36" s="2413"/>
      <c r="M36" s="2413"/>
      <c r="N36" s="2409"/>
      <c r="O36" s="2409"/>
      <c r="P36" s="2409"/>
      <c r="Q36" s="2409"/>
      <c r="R36" s="2409"/>
      <c r="S36" s="2409"/>
      <c r="T36" s="2409"/>
      <c r="U36" s="2409"/>
      <c r="V36" s="2409"/>
      <c r="W36" s="2409"/>
      <c r="X36" s="2409"/>
      <c r="Y36" s="2409"/>
      <c r="Z36" s="2410"/>
    </row>
    <row r="37" spans="1:37" ht="12.75">
      <c r="A37" s="1763"/>
      <c r="B37" s="1691" t="s">
        <v>1514</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9"/>
      <c r="L37" s="2417" t="s">
        <v>2207</v>
      </c>
      <c r="M37" s="2418"/>
      <c r="N37" s="2409"/>
      <c r="O37" s="2409"/>
      <c r="P37" s="2409"/>
      <c r="Q37" s="2409"/>
      <c r="R37" s="2409"/>
      <c r="S37" s="2409"/>
      <c r="T37" s="2409"/>
      <c r="U37" s="2409"/>
      <c r="V37" s="2409"/>
      <c r="W37" s="2409"/>
      <c r="X37" s="2409"/>
      <c r="Y37" s="2409"/>
      <c r="Z37" s="2410"/>
    </row>
    <row r="38" spans="1:37" ht="12.75">
      <c r="A38" s="1763"/>
      <c r="B38" s="1691" t="s">
        <v>1515</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9"/>
      <c r="L38" s="1785" t="s">
        <v>2190</v>
      </c>
      <c r="M38" s="1786">
        <v>0.25</v>
      </c>
      <c r="N38" s="2409"/>
      <c r="O38" s="2409"/>
      <c r="P38" s="2409"/>
      <c r="Q38" s="2409"/>
      <c r="R38" s="2409"/>
      <c r="S38" s="2409"/>
      <c r="T38" s="2409"/>
      <c r="U38" s="2409"/>
      <c r="V38" s="2409"/>
      <c r="W38" s="2409"/>
      <c r="X38" s="2409"/>
      <c r="Y38" s="2409"/>
      <c r="Z38" s="2410"/>
    </row>
    <row r="39" spans="1:37" ht="13.5" thickBot="1">
      <c r="A39" s="1751"/>
      <c r="B39" s="1766" t="s">
        <v>1516</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9"/>
      <c r="L39" s="1787" t="s">
        <v>2186</v>
      </c>
      <c r="M39" s="1788">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0" t="s">
        <v>2125</v>
      </c>
      <c r="B45" s="1511"/>
      <c r="C45" s="1166"/>
      <c r="D45" s="300"/>
      <c r="E45" s="300"/>
      <c r="F45" s="298"/>
      <c r="G45" s="1567"/>
      <c r="H45" s="298"/>
      <c r="I45" s="1512"/>
      <c r="J45" s="1512"/>
      <c r="K45" s="1512"/>
      <c r="L45" s="1512"/>
      <c r="M45" s="1512"/>
      <c r="N45" s="1646"/>
      <c r="Z45" s="2410"/>
      <c r="AA45" s="2410"/>
      <c r="AB45" s="2410"/>
      <c r="AC45" s="2410"/>
      <c r="AD45" s="2410"/>
      <c r="AE45" s="2410"/>
      <c r="AF45" s="2410"/>
      <c r="AG45" s="2410"/>
      <c r="AH45" s="2410"/>
      <c r="AI45" s="2410"/>
      <c r="AJ45" s="2410"/>
    </row>
    <row r="46" spans="1:37" s="2409" customFormat="1" ht="15">
      <c r="A46" s="1513" t="s">
        <v>1</v>
      </c>
      <c r="B46" s="1514">
        <f>1+E48</f>
        <v>1</v>
      </c>
      <c r="C46" s="1515"/>
      <c r="D46" s="1516"/>
      <c r="E46" s="1517"/>
      <c r="F46" s="2160"/>
      <c r="G46" s="298"/>
      <c r="H46" s="1512"/>
      <c r="I46" s="1512"/>
      <c r="J46" s="1512"/>
      <c r="K46" s="1512"/>
      <c r="L46" s="1512"/>
      <c r="M46" s="1512"/>
      <c r="N46" s="1646"/>
      <c r="Z46" s="2410"/>
      <c r="AA46" s="2410"/>
      <c r="AB46" s="2410"/>
      <c r="AC46" s="2410"/>
      <c r="AD46" s="2410"/>
      <c r="AE46" s="2410"/>
      <c r="AF46" s="2410"/>
      <c r="AG46" s="2410"/>
      <c r="AH46" s="2410"/>
      <c r="AI46" s="2410"/>
      <c r="AJ46" s="2410"/>
    </row>
    <row r="47" spans="1:37" s="2409" customFormat="1" ht="24">
      <c r="A47" s="1519" t="s">
        <v>2126</v>
      </c>
      <c r="B47" s="1520" t="s">
        <v>2127</v>
      </c>
      <c r="C47" s="1521" t="s">
        <v>2128</v>
      </c>
      <c r="D47" s="1522" t="s">
        <v>2201</v>
      </c>
      <c r="E47" s="1523" t="s">
        <v>2203</v>
      </c>
      <c r="F47" s="2639" t="s">
        <v>2886</v>
      </c>
      <c r="G47" s="1522" t="s">
        <v>2199</v>
      </c>
      <c r="H47" s="2640" t="s">
        <v>2887</v>
      </c>
      <c r="I47" s="1522" t="s">
        <v>2202</v>
      </c>
      <c r="J47" s="950" t="s">
        <v>600</v>
      </c>
      <c r="K47" s="950" t="s">
        <v>601</v>
      </c>
      <c r="L47" s="950" t="s">
        <v>602</v>
      </c>
      <c r="M47" s="950" t="s">
        <v>603</v>
      </c>
      <c r="N47" s="950" t="s">
        <v>604</v>
      </c>
      <c r="AA47" s="2410"/>
      <c r="AB47" s="2410"/>
      <c r="AC47" s="2410"/>
      <c r="AD47" s="2410"/>
      <c r="AE47" s="2410"/>
      <c r="AF47" s="2410"/>
      <c r="AG47" s="2410"/>
      <c r="AH47" s="2410"/>
      <c r="AI47" s="2410"/>
      <c r="AJ47" s="2410"/>
      <c r="AK47" s="2410"/>
    </row>
    <row r="48" spans="1:37" s="2409" customFormat="1" ht="36">
      <c r="A48" s="1519" t="s">
        <v>2129</v>
      </c>
      <c r="B48" s="1524" t="str">
        <f>估价对象房地状况!C4</f>
        <v>估价对象位于XX商圈，周边商业氛围成熟，人流量大，商业繁华度好</v>
      </c>
      <c r="C48" s="1509" t="s">
        <v>122</v>
      </c>
      <c r="D48" s="2638">
        <f t="shared" ref="D48:D56" si="10">SUMIF($J$47:$N$47,C48,J48:N48)</f>
        <v>0</v>
      </c>
      <c r="E48" s="1526">
        <f>ROUND(SUM(D48:D56),4)</f>
        <v>0</v>
      </c>
      <c r="F48" s="1527" t="str">
        <f>IF(E2="商业",SUMIF(L1:L12,G2,N1:N12),"——")</f>
        <v>——</v>
      </c>
      <c r="G48" s="2636"/>
      <c r="H48" s="2654" t="str">
        <f t="shared" ref="H48:H56" si="11">IFERROR(ROUNDDOWN($F$48*I48/2,4),"——")</f>
        <v>——</v>
      </c>
      <c r="I48" s="1525">
        <v>0.33</v>
      </c>
      <c r="J48" s="2637">
        <f t="shared" ref="J48:J56" si="12">K48+$G48</f>
        <v>0</v>
      </c>
      <c r="K48" s="2637">
        <f t="shared" ref="K48:K56" si="13">$L48+$G48</f>
        <v>0</v>
      </c>
      <c r="L48" s="2637">
        <v>0</v>
      </c>
      <c r="M48" s="2637">
        <f t="shared" ref="M48:N56" si="14">L48-$G48</f>
        <v>0</v>
      </c>
      <c r="N48" s="2637">
        <f t="shared" si="14"/>
        <v>0</v>
      </c>
      <c r="AA48" s="2410"/>
      <c r="AB48" s="2410"/>
      <c r="AC48" s="2410"/>
      <c r="AD48" s="2410"/>
      <c r="AE48" s="2410"/>
      <c r="AF48" s="2410"/>
      <c r="AG48" s="2410"/>
      <c r="AH48" s="2410"/>
      <c r="AI48" s="2410"/>
      <c r="AJ48" s="2410"/>
      <c r="AK48" s="2410"/>
    </row>
    <row r="49" spans="1:37" s="2409" customFormat="1" ht="48">
      <c r="A49" s="1519" t="s">
        <v>97</v>
      </c>
      <c r="B49" s="1528" t="str">
        <f>估价对象房地状况!C18</f>
        <v>估价对象周边道路状况、公共交通通达情况、停车便捷程度，综合评价交通便捷度较好</v>
      </c>
      <c r="C49" s="1509" t="s">
        <v>122</v>
      </c>
      <c r="D49" s="2638">
        <f t="shared" si="10"/>
        <v>0</v>
      </c>
      <c r="E49" s="1529"/>
      <c r="F49" s="1527"/>
      <c r="G49" s="2636"/>
      <c r="H49" s="2654" t="str">
        <f t="shared" si="11"/>
        <v>——</v>
      </c>
      <c r="I49" s="1525">
        <v>0.25</v>
      </c>
      <c r="J49" s="2637">
        <f t="shared" si="12"/>
        <v>0</v>
      </c>
      <c r="K49" s="2637">
        <f t="shared" si="13"/>
        <v>0</v>
      </c>
      <c r="L49" s="2637">
        <v>0</v>
      </c>
      <c r="M49" s="2637">
        <f t="shared" si="14"/>
        <v>0</v>
      </c>
      <c r="N49" s="2637">
        <f t="shared" si="14"/>
        <v>0</v>
      </c>
      <c r="AA49" s="2410"/>
      <c r="AB49" s="2410"/>
      <c r="AC49" s="2410"/>
      <c r="AD49" s="2410"/>
      <c r="AE49" s="2410"/>
      <c r="AF49" s="2410"/>
      <c r="AG49" s="2410"/>
      <c r="AH49" s="2410"/>
      <c r="AI49" s="2410"/>
      <c r="AJ49" s="2410"/>
      <c r="AK49" s="2410"/>
    </row>
    <row r="50" spans="1:37" s="2409" customFormat="1" ht="24">
      <c r="A50" s="1519" t="s">
        <v>128</v>
      </c>
      <c r="B50" s="1528" t="str">
        <f>估价对象房地状况!C19</f>
        <v>零星有其他用地，基本不影响本宗地</v>
      </c>
      <c r="C50" s="1509" t="s">
        <v>122</v>
      </c>
      <c r="D50" s="2638">
        <f t="shared" si="10"/>
        <v>0</v>
      </c>
      <c r="E50" s="1529"/>
      <c r="F50" s="1527"/>
      <c r="G50" s="2636"/>
      <c r="H50" s="2654" t="str">
        <f t="shared" si="11"/>
        <v>——</v>
      </c>
      <c r="I50" s="1525">
        <v>0.05</v>
      </c>
      <c r="J50" s="2637">
        <f t="shared" si="12"/>
        <v>0</v>
      </c>
      <c r="K50" s="2637">
        <f t="shared" si="13"/>
        <v>0</v>
      </c>
      <c r="L50" s="2637">
        <v>0</v>
      </c>
      <c r="M50" s="2637">
        <f t="shared" si="14"/>
        <v>0</v>
      </c>
      <c r="N50" s="2637">
        <f t="shared" si="14"/>
        <v>0</v>
      </c>
      <c r="AA50" s="2410"/>
      <c r="AB50" s="2410"/>
      <c r="AC50" s="2410"/>
      <c r="AD50" s="2410"/>
      <c r="AE50" s="2410"/>
      <c r="AF50" s="2410"/>
      <c r="AG50" s="2410"/>
      <c r="AH50" s="2410"/>
      <c r="AI50" s="2410"/>
      <c r="AJ50" s="2410"/>
      <c r="AK50" s="2410"/>
    </row>
    <row r="51" spans="1:37" s="2409" customFormat="1" ht="48">
      <c r="A51" s="1519" t="s">
        <v>2130</v>
      </c>
      <c r="B51" s="2630" t="s">
        <v>2883</v>
      </c>
      <c r="C51" s="1509" t="s">
        <v>122</v>
      </c>
      <c r="D51" s="2638">
        <f t="shared" si="10"/>
        <v>0</v>
      </c>
      <c r="E51" s="1529"/>
      <c r="F51" s="1527"/>
      <c r="G51" s="2636"/>
      <c r="H51" s="2654" t="str">
        <f t="shared" si="11"/>
        <v>——</v>
      </c>
      <c r="I51" s="1525">
        <v>0.05</v>
      </c>
      <c r="J51" s="2637">
        <f t="shared" si="12"/>
        <v>0</v>
      </c>
      <c r="K51" s="2637">
        <f t="shared" si="13"/>
        <v>0</v>
      </c>
      <c r="L51" s="2637">
        <v>0</v>
      </c>
      <c r="M51" s="2637">
        <f t="shared" si="14"/>
        <v>0</v>
      </c>
      <c r="N51" s="2637">
        <f t="shared" si="14"/>
        <v>0</v>
      </c>
      <c r="AA51" s="2410"/>
      <c r="AB51" s="2410"/>
      <c r="AC51" s="2410"/>
      <c r="AD51" s="2410"/>
      <c r="AE51" s="2410"/>
      <c r="AF51" s="2410"/>
      <c r="AG51" s="2410"/>
      <c r="AH51" s="2410"/>
      <c r="AI51" s="2410"/>
      <c r="AJ51" s="2410"/>
      <c r="AK51" s="2410"/>
    </row>
    <row r="52" spans="1:37" s="2409" customFormat="1" ht="24">
      <c r="A52" s="1519" t="s">
        <v>2131</v>
      </c>
      <c r="B52" s="1528" t="str">
        <f>估价对象房地状况!C24</f>
        <v>城市支路——裕民中路</v>
      </c>
      <c r="C52" s="1509" t="s">
        <v>122</v>
      </c>
      <c r="D52" s="2638">
        <f t="shared" si="10"/>
        <v>0</v>
      </c>
      <c r="E52" s="1529"/>
      <c r="F52" s="1527"/>
      <c r="G52" s="2636"/>
      <c r="H52" s="2654" t="str">
        <f t="shared" si="11"/>
        <v>——</v>
      </c>
      <c r="I52" s="1525">
        <v>0.08</v>
      </c>
      <c r="J52" s="2637">
        <f t="shared" si="12"/>
        <v>0</v>
      </c>
      <c r="K52" s="2637">
        <f t="shared" si="13"/>
        <v>0</v>
      </c>
      <c r="L52" s="2637">
        <v>0</v>
      </c>
      <c r="M52" s="2637">
        <f t="shared" si="14"/>
        <v>0</v>
      </c>
      <c r="N52" s="2637">
        <f t="shared" si="14"/>
        <v>0</v>
      </c>
      <c r="AA52" s="2410"/>
      <c r="AB52" s="2410"/>
      <c r="AC52" s="2410"/>
      <c r="AD52" s="2410"/>
      <c r="AE52" s="2410"/>
      <c r="AF52" s="2410"/>
      <c r="AG52" s="2410"/>
      <c r="AH52" s="2410"/>
      <c r="AI52" s="2410"/>
      <c r="AJ52" s="2410"/>
      <c r="AK52" s="2410"/>
    </row>
    <row r="53" spans="1:37" s="2409" customFormat="1" ht="24">
      <c r="A53" s="1519" t="s">
        <v>2132</v>
      </c>
      <c r="B53" s="2631" t="s">
        <v>2884</v>
      </c>
      <c r="C53" s="1509" t="s">
        <v>122</v>
      </c>
      <c r="D53" s="2638">
        <f t="shared" si="10"/>
        <v>0</v>
      </c>
      <c r="E53" s="1529"/>
      <c r="F53" s="1527"/>
      <c r="G53" s="2636"/>
      <c r="H53" s="2654" t="str">
        <f t="shared" si="11"/>
        <v>——</v>
      </c>
      <c r="I53" s="1525">
        <v>0.03</v>
      </c>
      <c r="J53" s="2637">
        <f t="shared" si="12"/>
        <v>0</v>
      </c>
      <c r="K53" s="2637">
        <f t="shared" si="13"/>
        <v>0</v>
      </c>
      <c r="L53" s="2637">
        <v>0</v>
      </c>
      <c r="M53" s="2637">
        <f t="shared" si="14"/>
        <v>0</v>
      </c>
      <c r="N53" s="2637">
        <f t="shared" si="14"/>
        <v>0</v>
      </c>
      <c r="AA53" s="2410"/>
      <c r="AB53" s="2410"/>
      <c r="AC53" s="2410"/>
      <c r="AD53" s="2410"/>
      <c r="AE53" s="2410"/>
      <c r="AF53" s="2410"/>
      <c r="AG53" s="2410"/>
      <c r="AH53" s="2410"/>
      <c r="AI53" s="2410"/>
      <c r="AJ53" s="2410"/>
      <c r="AK53" s="2410"/>
    </row>
    <row r="54" spans="1:37" s="2409" customFormat="1" ht="24">
      <c r="A54" s="1530" t="s">
        <v>2133</v>
      </c>
      <c r="B54" s="2632" t="str">
        <f>估价对象房地状况!C21</f>
        <v>估价对象所在区域公共配套设施齐备情况</v>
      </c>
      <c r="C54" s="1509" t="s">
        <v>122</v>
      </c>
      <c r="D54" s="2638">
        <f t="shared" si="10"/>
        <v>0</v>
      </c>
      <c r="E54" s="1529"/>
      <c r="F54" s="1527"/>
      <c r="G54" s="2636"/>
      <c r="H54" s="2654" t="str">
        <f t="shared" si="11"/>
        <v>——</v>
      </c>
      <c r="I54" s="1525">
        <v>0.05</v>
      </c>
      <c r="J54" s="2637">
        <f t="shared" si="12"/>
        <v>0</v>
      </c>
      <c r="K54" s="2637">
        <f t="shared" si="13"/>
        <v>0</v>
      </c>
      <c r="L54" s="2637">
        <v>0</v>
      </c>
      <c r="M54" s="2637">
        <f t="shared" si="14"/>
        <v>0</v>
      </c>
      <c r="N54" s="2637">
        <f t="shared" si="14"/>
        <v>0</v>
      </c>
      <c r="AA54" s="2410"/>
      <c r="AB54" s="2410"/>
      <c r="AC54" s="2410"/>
      <c r="AD54" s="2410"/>
      <c r="AE54" s="2410"/>
      <c r="AF54" s="2410"/>
      <c r="AG54" s="2410"/>
      <c r="AH54" s="2410"/>
      <c r="AI54" s="2410"/>
      <c r="AJ54" s="2410"/>
      <c r="AK54" s="2410"/>
    </row>
    <row r="55" spans="1:37" s="2409" customFormat="1" ht="24">
      <c r="A55" s="1530" t="s">
        <v>2134</v>
      </c>
      <c r="B55" s="1528" t="str">
        <f>估价对象房地状况!C22</f>
        <v>估价对象所在区域基础设施水平</v>
      </c>
      <c r="C55" s="1509" t="s">
        <v>122</v>
      </c>
      <c r="D55" s="2638">
        <f t="shared" si="10"/>
        <v>0</v>
      </c>
      <c r="E55" s="1529"/>
      <c r="F55" s="1527"/>
      <c r="G55" s="2636"/>
      <c r="H55" s="2654" t="str">
        <f t="shared" si="11"/>
        <v>——</v>
      </c>
      <c r="I55" s="1525">
        <v>0.1</v>
      </c>
      <c r="J55" s="2637">
        <f t="shared" si="12"/>
        <v>0</v>
      </c>
      <c r="K55" s="2637">
        <f t="shared" si="13"/>
        <v>0</v>
      </c>
      <c r="L55" s="2637">
        <v>0</v>
      </c>
      <c r="M55" s="2637">
        <f t="shared" si="14"/>
        <v>0</v>
      </c>
      <c r="N55" s="2637">
        <f t="shared" si="14"/>
        <v>0</v>
      </c>
      <c r="AA55" s="2410"/>
      <c r="AB55" s="2410"/>
      <c r="AC55" s="2410"/>
      <c r="AD55" s="2410"/>
      <c r="AE55" s="2410"/>
      <c r="AF55" s="2410"/>
      <c r="AG55" s="2410"/>
      <c r="AH55" s="2410"/>
      <c r="AI55" s="2410"/>
      <c r="AJ55" s="2410"/>
      <c r="AK55" s="2410"/>
    </row>
    <row r="56" spans="1:37" s="2409" customFormat="1" ht="36.75" thickBot="1">
      <c r="A56" s="1532" t="s">
        <v>2135</v>
      </c>
      <c r="B56" s="1533" t="str">
        <f>估价对象房地状况!C20</f>
        <v>区域自然环境：；人文环境；综合评价环境状况一般</v>
      </c>
      <c r="C56" s="1509" t="s">
        <v>122</v>
      </c>
      <c r="D56" s="2638">
        <f t="shared" si="10"/>
        <v>0</v>
      </c>
      <c r="E56" s="1535"/>
      <c r="F56" s="1527"/>
      <c r="G56" s="2636"/>
      <c r="H56" s="2654" t="str">
        <f t="shared" si="11"/>
        <v>——</v>
      </c>
      <c r="I56" s="1534">
        <v>0.06</v>
      </c>
      <c r="J56" s="2637">
        <f t="shared" si="12"/>
        <v>0</v>
      </c>
      <c r="K56" s="2637">
        <f t="shared" si="13"/>
        <v>0</v>
      </c>
      <c r="L56" s="2637">
        <v>0</v>
      </c>
      <c r="M56" s="2637">
        <f t="shared" si="14"/>
        <v>0</v>
      </c>
      <c r="N56" s="2637">
        <f t="shared" si="14"/>
        <v>0</v>
      </c>
      <c r="AA56" s="2410"/>
      <c r="AB56" s="2410"/>
      <c r="AC56" s="2410"/>
      <c r="AD56" s="2410"/>
      <c r="AE56" s="2410"/>
      <c r="AF56" s="2410"/>
      <c r="AG56" s="2410"/>
      <c r="AH56" s="2410"/>
      <c r="AI56" s="2410"/>
      <c r="AJ56" s="2410"/>
      <c r="AK56" s="2410"/>
    </row>
    <row r="57" spans="1:37" s="2409" customFormat="1" ht="15">
      <c r="A57" s="1513" t="s">
        <v>1509</v>
      </c>
      <c r="B57" s="1514">
        <f>1+E59</f>
        <v>1</v>
      </c>
      <c r="C57" s="1536"/>
      <c r="D57" s="1516"/>
      <c r="E57" s="1517"/>
      <c r="F57" s="2160"/>
      <c r="G57" s="298"/>
      <c r="H57" s="298"/>
      <c r="I57" s="298"/>
      <c r="J57" s="1512"/>
      <c r="K57" s="1512"/>
      <c r="L57" s="1512"/>
      <c r="M57" s="1512"/>
      <c r="N57" s="1512"/>
      <c r="AA57" s="2410"/>
      <c r="AB57" s="2410"/>
      <c r="AC57" s="2410"/>
      <c r="AD57" s="2410"/>
      <c r="AE57" s="2410"/>
      <c r="AF57" s="2410"/>
      <c r="AG57" s="2410"/>
      <c r="AH57" s="2410"/>
      <c r="AI57" s="2410"/>
      <c r="AJ57" s="2410"/>
      <c r="AK57" s="2410"/>
    </row>
    <row r="58" spans="1:37" s="2409" customFormat="1" ht="24">
      <c r="A58" s="1519" t="s">
        <v>2126</v>
      </c>
      <c r="B58" s="1520"/>
      <c r="C58" s="1521" t="s">
        <v>2128</v>
      </c>
      <c r="D58" s="1522" t="s">
        <v>2201</v>
      </c>
      <c r="E58" s="1523" t="s">
        <v>2203</v>
      </c>
      <c r="F58" s="2639" t="s">
        <v>2661</v>
      </c>
      <c r="G58" s="1522" t="s">
        <v>2199</v>
      </c>
      <c r="H58" s="2640" t="s">
        <v>2887</v>
      </c>
      <c r="I58" s="1522" t="s">
        <v>2202</v>
      </c>
      <c r="J58" s="950" t="s">
        <v>600</v>
      </c>
      <c r="K58" s="950" t="s">
        <v>601</v>
      </c>
      <c r="L58" s="950" t="s">
        <v>602</v>
      </c>
      <c r="M58" s="950" t="s">
        <v>603</v>
      </c>
      <c r="N58" s="950" t="s">
        <v>604</v>
      </c>
      <c r="AA58" s="2410"/>
      <c r="AB58" s="2410"/>
      <c r="AC58" s="2410"/>
      <c r="AD58" s="2410"/>
      <c r="AE58" s="2410"/>
      <c r="AF58" s="2410"/>
      <c r="AG58" s="2410"/>
      <c r="AH58" s="2410"/>
      <c r="AI58" s="2410"/>
      <c r="AJ58" s="2410"/>
      <c r="AK58" s="2410"/>
    </row>
    <row r="59" spans="1:37" s="2409" customFormat="1" ht="36">
      <c r="A59" s="1519" t="s">
        <v>1383</v>
      </c>
      <c r="B59" s="1524" t="str">
        <f>估价对象房地状况!C17</f>
        <v>估价对象位于XX商圈，周边办公楼项目较多，入驻率高，办公集聚程度较好</v>
      </c>
      <c r="C59" s="1509" t="s">
        <v>124</v>
      </c>
      <c r="D59" s="2638">
        <f t="shared" ref="D59:D67" si="15">SUMIF($J$58:$N$58,C59,J59:N59)</f>
        <v>0</v>
      </c>
      <c r="E59" s="1526">
        <f>ROUND(SUM(D59:D67),4)</f>
        <v>0</v>
      </c>
      <c r="F59" s="1527">
        <f>IF(E2="办公",SUMIF(L1:L12,G2,N1:N12),"——")</f>
        <v>0.14699999999999999</v>
      </c>
      <c r="G59" s="2636"/>
      <c r="H59" s="2654">
        <f t="shared" ref="H59:H67" si="16">IFERROR(ROUNDDOWN($F$59*I59/2,4),"——")</f>
        <v>1.7600000000000001E-2</v>
      </c>
      <c r="I59" s="1525">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c r="A60" s="1519" t="s">
        <v>97</v>
      </c>
      <c r="B60" s="1528" t="str">
        <f>估价对象房地状况!C18</f>
        <v>估价对象周边道路状况、公共交通通达情况、停车便捷程度，综合评价交通便捷度较好</v>
      </c>
      <c r="C60" s="1509" t="s">
        <v>124</v>
      </c>
      <c r="D60" s="2638">
        <f t="shared" si="15"/>
        <v>0</v>
      </c>
      <c r="E60" s="1529"/>
      <c r="F60" s="1527"/>
      <c r="G60" s="2636"/>
      <c r="H60" s="2654">
        <f t="shared" si="16"/>
        <v>2.1999999999999999E-2</v>
      </c>
      <c r="I60" s="1525">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c r="A61" s="1519" t="s">
        <v>128</v>
      </c>
      <c r="B61" s="1528" t="str">
        <f>估价对象房地状况!C19</f>
        <v>零星有其他用地，基本不影响本宗地</v>
      </c>
      <c r="C61" s="1509" t="s">
        <v>124</v>
      </c>
      <c r="D61" s="2638">
        <f t="shared" si="15"/>
        <v>0</v>
      </c>
      <c r="E61" s="1529"/>
      <c r="F61" s="1527"/>
      <c r="G61" s="2636"/>
      <c r="H61" s="2654">
        <f t="shared" si="16"/>
        <v>5.7999999999999996E-3</v>
      </c>
      <c r="I61" s="1525">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c r="A62" s="1519" t="s">
        <v>2130</v>
      </c>
      <c r="B62" s="2630" t="s">
        <v>2883</v>
      </c>
      <c r="C62" s="1509" t="s">
        <v>124</v>
      </c>
      <c r="D62" s="2638">
        <f t="shared" si="15"/>
        <v>0</v>
      </c>
      <c r="E62" s="1529"/>
      <c r="F62" s="1527"/>
      <c r="G62" s="2636"/>
      <c r="H62" s="2654">
        <f t="shared" si="16"/>
        <v>2.8999999999999998E-3</v>
      </c>
      <c r="I62" s="1525">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c r="A63" s="1519" t="s">
        <v>2131</v>
      </c>
      <c r="B63" s="1528" t="str">
        <f>估价对象房地状况!C24</f>
        <v>城市支路——裕民中路</v>
      </c>
      <c r="C63" s="1509" t="s">
        <v>124</v>
      </c>
      <c r="D63" s="2638">
        <f t="shared" si="15"/>
        <v>0</v>
      </c>
      <c r="E63" s="1529"/>
      <c r="F63" s="1527"/>
      <c r="G63" s="2636"/>
      <c r="H63" s="2654">
        <f t="shared" si="16"/>
        <v>3.5999999999999999E-3</v>
      </c>
      <c r="I63" s="1525">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c r="A64" s="1519" t="s">
        <v>2132</v>
      </c>
      <c r="B64" s="2631" t="s">
        <v>2884</v>
      </c>
      <c r="C64" s="1509" t="s">
        <v>124</v>
      </c>
      <c r="D64" s="2638">
        <f t="shared" si="15"/>
        <v>0</v>
      </c>
      <c r="E64" s="1529"/>
      <c r="F64" s="1527"/>
      <c r="G64" s="2636"/>
      <c r="H64" s="2654">
        <f t="shared" si="16"/>
        <v>3.5999999999999999E-3</v>
      </c>
      <c r="I64" s="1525">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c r="A65" s="1519" t="s">
        <v>2133</v>
      </c>
      <c r="B65" s="2632" t="str">
        <f>估价对象房地状况!C21</f>
        <v>估价对象所在区域公共配套设施齐备情况</v>
      </c>
      <c r="C65" s="1509" t="s">
        <v>124</v>
      </c>
      <c r="D65" s="2638">
        <f t="shared" si="15"/>
        <v>0</v>
      </c>
      <c r="E65" s="1529"/>
      <c r="F65" s="1527"/>
      <c r="G65" s="2636"/>
      <c r="H65" s="2654">
        <f t="shared" si="16"/>
        <v>4.4000000000000003E-3</v>
      </c>
      <c r="I65" s="1525">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c r="A66" s="1519" t="s">
        <v>2134</v>
      </c>
      <c r="B66" s="2632" t="str">
        <f>估价对象房地状况!C22</f>
        <v>估价对象所在区域基础设施水平</v>
      </c>
      <c r="C66" s="1509" t="s">
        <v>124</v>
      </c>
      <c r="D66" s="2638">
        <f t="shared" si="15"/>
        <v>0</v>
      </c>
      <c r="E66" s="1529"/>
      <c r="F66" s="1527"/>
      <c r="G66" s="2636"/>
      <c r="H66" s="2654">
        <f t="shared" si="16"/>
        <v>8.8000000000000005E-3</v>
      </c>
      <c r="I66" s="1525">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thickBot="1">
      <c r="A67" s="1532" t="s">
        <v>2135</v>
      </c>
      <c r="B67" s="1537" t="str">
        <f>估价对象房地状况!C20</f>
        <v>区域自然环境：；人文环境；综合评价环境状况一般</v>
      </c>
      <c r="C67" s="1509" t="s">
        <v>124</v>
      </c>
      <c r="D67" s="2638">
        <f t="shared" si="15"/>
        <v>0</v>
      </c>
      <c r="E67" s="1535"/>
      <c r="F67" s="1527"/>
      <c r="G67" s="2636"/>
      <c r="H67" s="2654">
        <f t="shared" si="16"/>
        <v>4.4000000000000003E-3</v>
      </c>
      <c r="I67" s="1534">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c r="A68" s="1513" t="s">
        <v>1217</v>
      </c>
      <c r="B68" s="1514">
        <f>1+E70</f>
        <v>1</v>
      </c>
      <c r="C68" s="1536"/>
      <c r="D68" s="1516"/>
      <c r="E68" s="1517"/>
      <c r="F68" s="2160"/>
      <c r="G68" s="298"/>
      <c r="H68" s="298"/>
      <c r="I68" s="298"/>
      <c r="J68" s="1512"/>
      <c r="K68" s="1512"/>
      <c r="L68" s="1512"/>
      <c r="M68" s="1512"/>
      <c r="N68" s="1512"/>
      <c r="AA68" s="2410"/>
      <c r="AB68" s="2410"/>
      <c r="AC68" s="2410"/>
      <c r="AD68" s="2410"/>
      <c r="AE68" s="2410"/>
      <c r="AF68" s="2410"/>
      <c r="AG68" s="2410"/>
      <c r="AH68" s="2410"/>
      <c r="AI68" s="2410"/>
      <c r="AJ68" s="2410"/>
      <c r="AK68" s="2410"/>
    </row>
    <row r="69" spans="1:37" s="2409" customFormat="1" ht="24">
      <c r="A69" s="1519" t="s">
        <v>2126</v>
      </c>
      <c r="B69" s="1520"/>
      <c r="C69" s="1521" t="s">
        <v>2128</v>
      </c>
      <c r="D69" s="1522" t="s">
        <v>2201</v>
      </c>
      <c r="E69" s="1523" t="s">
        <v>2203</v>
      </c>
      <c r="F69" s="2639" t="s">
        <v>2661</v>
      </c>
      <c r="G69" s="1522" t="s">
        <v>2199</v>
      </c>
      <c r="H69" s="2640" t="s">
        <v>2887</v>
      </c>
      <c r="I69" s="1522" t="s">
        <v>2202</v>
      </c>
      <c r="J69" s="950" t="s">
        <v>600</v>
      </c>
      <c r="K69" s="950" t="s">
        <v>601</v>
      </c>
      <c r="L69" s="950" t="s">
        <v>602</v>
      </c>
      <c r="M69" s="950" t="s">
        <v>603</v>
      </c>
      <c r="N69" s="950" t="s">
        <v>604</v>
      </c>
      <c r="AA69" s="2410"/>
      <c r="AB69" s="2410"/>
      <c r="AC69" s="2410"/>
      <c r="AD69" s="2410"/>
      <c r="AE69" s="2410"/>
      <c r="AF69" s="2410"/>
      <c r="AG69" s="2410"/>
      <c r="AH69" s="2410"/>
      <c r="AI69" s="2410"/>
      <c r="AJ69" s="2410"/>
      <c r="AK69" s="2410"/>
    </row>
    <row r="70" spans="1:37" s="2409" customFormat="1" ht="48">
      <c r="A70" s="1519" t="s">
        <v>138</v>
      </c>
      <c r="B70" s="1524" t="str">
        <f>估价对象房地状况!C15</f>
        <v>估价对象周边居住用地比例、居住小区规模和社区发展完善程度，综合评价居住社区成熟度一般</v>
      </c>
      <c r="C70" s="1509" t="s">
        <v>122</v>
      </c>
      <c r="D70" s="2638">
        <f t="shared" ref="D70:D78" si="20">SUMIF($J$69:$N$69,C70,J70:N70)</f>
        <v>0</v>
      </c>
      <c r="E70" s="1526">
        <f>ROUND(SUM(D70:D78),4)</f>
        <v>0</v>
      </c>
      <c r="F70" s="1527" t="str">
        <f>IF(E2="住宅",SUMIF(L1:L12,G2,N1:N12),"——")</f>
        <v>——</v>
      </c>
      <c r="G70" s="2636"/>
      <c r="H70" s="2654" t="str">
        <f t="shared" ref="H70:H78" si="21">IFERROR(ROUNDDOWN($F$70*I70/2,4),"——")</f>
        <v>——</v>
      </c>
      <c r="I70" s="1525">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c r="A71" s="1519" t="s">
        <v>97</v>
      </c>
      <c r="B71" s="1528" t="str">
        <f>估价对象房地状况!C18</f>
        <v>估价对象周边道路状况、公共交通通达情况、停车便捷程度，综合评价交通便捷度较好</v>
      </c>
      <c r="C71" s="1509" t="s">
        <v>122</v>
      </c>
      <c r="D71" s="2638">
        <f t="shared" si="20"/>
        <v>0</v>
      </c>
      <c r="E71" s="1538"/>
      <c r="F71" s="1527"/>
      <c r="G71" s="2636"/>
      <c r="H71" s="2654" t="str">
        <f t="shared" si="21"/>
        <v>——</v>
      </c>
      <c r="I71" s="1525">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c r="A72" s="1519" t="s">
        <v>128</v>
      </c>
      <c r="B72" s="1528" t="str">
        <f>估价对象房地状况!C19</f>
        <v>零星有其他用地，基本不影响本宗地</v>
      </c>
      <c r="C72" s="1509" t="s">
        <v>122</v>
      </c>
      <c r="D72" s="2638">
        <f t="shared" si="20"/>
        <v>0</v>
      </c>
      <c r="E72" s="1538"/>
      <c r="F72" s="1527"/>
      <c r="G72" s="2636"/>
      <c r="H72" s="2654" t="str">
        <f t="shared" si="21"/>
        <v>——</v>
      </c>
      <c r="I72" s="1525">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c r="A73" s="1519" t="s">
        <v>2136</v>
      </c>
      <c r="B73" s="1528" t="str">
        <f>估价对象房地状况!C24</f>
        <v>城市支路——裕民中路</v>
      </c>
      <c r="C73" s="1509" t="s">
        <v>122</v>
      </c>
      <c r="D73" s="2638">
        <f t="shared" si="20"/>
        <v>0</v>
      </c>
      <c r="E73" s="1538"/>
      <c r="F73" s="1527"/>
      <c r="G73" s="2636"/>
      <c r="H73" s="2654" t="str">
        <f t="shared" si="21"/>
        <v>——</v>
      </c>
      <c r="I73" s="1525">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c r="A74" s="1519" t="s">
        <v>2133</v>
      </c>
      <c r="B74" s="2632" t="str">
        <f>估价对象房地状况!C21</f>
        <v>估价对象所在区域公共配套设施齐备情况</v>
      </c>
      <c r="C74" s="1509" t="s">
        <v>122</v>
      </c>
      <c r="D74" s="2638">
        <f t="shared" si="20"/>
        <v>0</v>
      </c>
      <c r="E74" s="1538"/>
      <c r="F74" s="1527"/>
      <c r="G74" s="2636"/>
      <c r="H74" s="2654" t="str">
        <f t="shared" si="21"/>
        <v>——</v>
      </c>
      <c r="I74" s="1525">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c r="A75" s="1519" t="s">
        <v>2134</v>
      </c>
      <c r="B75" s="2632" t="str">
        <f>估价对象房地状况!C22</f>
        <v>估价对象所在区域基础设施水平</v>
      </c>
      <c r="C75" s="1509" t="s">
        <v>122</v>
      </c>
      <c r="D75" s="2638">
        <f t="shared" si="20"/>
        <v>0</v>
      </c>
      <c r="E75" s="1538"/>
      <c r="F75" s="1527"/>
      <c r="G75" s="2636"/>
      <c r="H75" s="2654" t="str">
        <f t="shared" si="21"/>
        <v>——</v>
      </c>
      <c r="I75" s="1525">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c r="A76" s="1519" t="s">
        <v>2132</v>
      </c>
      <c r="B76" s="2631" t="s">
        <v>2884</v>
      </c>
      <c r="C76" s="1509" t="s">
        <v>122</v>
      </c>
      <c r="D76" s="2638">
        <f t="shared" si="20"/>
        <v>0</v>
      </c>
      <c r="E76" s="1538"/>
      <c r="F76" s="1527"/>
      <c r="G76" s="2636"/>
      <c r="H76" s="2654" t="str">
        <f t="shared" si="21"/>
        <v>——</v>
      </c>
      <c r="I76" s="1525">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c r="A77" s="1519" t="s">
        <v>2135</v>
      </c>
      <c r="B77" s="1524" t="str">
        <f>估价对象房地状况!C20</f>
        <v>区域自然环境：；人文环境；综合评价环境状况一般</v>
      </c>
      <c r="C77" s="1509" t="s">
        <v>122</v>
      </c>
      <c r="D77" s="2638">
        <f t="shared" si="20"/>
        <v>0</v>
      </c>
      <c r="E77" s="1538"/>
      <c r="F77" s="1527"/>
      <c r="G77" s="2636"/>
      <c r="H77" s="2654" t="str">
        <f t="shared" si="21"/>
        <v>——</v>
      </c>
      <c r="I77" s="1525">
        <v>0.15</v>
      </c>
      <c r="J77" s="2637">
        <f t="shared" si="22"/>
        <v>0</v>
      </c>
      <c r="K77" s="2637">
        <f t="shared" si="23"/>
        <v>0</v>
      </c>
      <c r="L77" s="2637">
        <v>0</v>
      </c>
      <c r="M77" s="2637">
        <f t="shared" si="24"/>
        <v>0</v>
      </c>
      <c r="N77" s="2637">
        <f t="shared" si="24"/>
        <v>0</v>
      </c>
      <c r="Z77" s="1649"/>
      <c r="AA77" s="1648"/>
      <c r="AG77" s="1647"/>
      <c r="AK77" s="1648"/>
    </row>
    <row r="78" spans="1:37" ht="24.75" thickBot="1">
      <c r="A78" s="1532" t="s">
        <v>2137</v>
      </c>
      <c r="B78" s="2634" t="s">
        <v>2885</v>
      </c>
      <c r="C78" s="1509" t="s">
        <v>122</v>
      </c>
      <c r="D78" s="2638">
        <f t="shared" si="20"/>
        <v>0</v>
      </c>
      <c r="E78" s="1539"/>
      <c r="F78" s="1527"/>
      <c r="G78" s="2636"/>
      <c r="H78" s="2654" t="str">
        <f t="shared" si="21"/>
        <v>——</v>
      </c>
      <c r="I78" s="1534">
        <v>0.04</v>
      </c>
      <c r="J78" s="2637">
        <f t="shared" si="22"/>
        <v>0</v>
      </c>
      <c r="K78" s="2637">
        <f t="shared" si="23"/>
        <v>0</v>
      </c>
      <c r="L78" s="2637">
        <v>0</v>
      </c>
      <c r="M78" s="2637">
        <f t="shared" si="24"/>
        <v>0</v>
      </c>
      <c r="N78" s="2637">
        <f t="shared" si="24"/>
        <v>0</v>
      </c>
      <c r="Z78" s="1649"/>
      <c r="AA78" s="1648"/>
      <c r="AG78" s="1647"/>
      <c r="AK78" s="1648"/>
    </row>
    <row r="79" spans="1:37" ht="15">
      <c r="A79" s="1513" t="s">
        <v>1419</v>
      </c>
      <c r="B79" s="1514">
        <f>1+E81</f>
        <v>1</v>
      </c>
      <c r="C79" s="1536"/>
      <c r="D79" s="1516"/>
      <c r="E79" s="1517"/>
      <c r="F79" s="2160"/>
      <c r="G79" s="298"/>
      <c r="H79" s="298"/>
      <c r="I79" s="298"/>
      <c r="J79" s="1512"/>
      <c r="K79" s="1512"/>
      <c r="L79" s="1512"/>
      <c r="M79" s="1512"/>
      <c r="N79" s="1512"/>
      <c r="Z79" s="1649"/>
      <c r="AA79" s="1648"/>
      <c r="AG79" s="1647"/>
      <c r="AK79" s="1648"/>
    </row>
    <row r="80" spans="1:37" ht="24">
      <c r="A80" s="1519" t="s">
        <v>2126</v>
      </c>
      <c r="B80" s="1520"/>
      <c r="C80" s="1521" t="s">
        <v>2128</v>
      </c>
      <c r="D80" s="1522" t="s">
        <v>2201</v>
      </c>
      <c r="E80" s="1523" t="s">
        <v>2203</v>
      </c>
      <c r="F80" s="2639" t="s">
        <v>2661</v>
      </c>
      <c r="G80" s="1522" t="s">
        <v>2199</v>
      </c>
      <c r="H80" s="2640" t="s">
        <v>2887</v>
      </c>
      <c r="I80" s="1522" t="s">
        <v>2202</v>
      </c>
      <c r="J80" s="950" t="s">
        <v>600</v>
      </c>
      <c r="K80" s="950" t="s">
        <v>601</v>
      </c>
      <c r="L80" s="950" t="s">
        <v>602</v>
      </c>
      <c r="M80" s="950" t="s">
        <v>603</v>
      </c>
      <c r="N80" s="950" t="s">
        <v>604</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8">
        <f t="shared" ref="D81:D88" si="25">SUMIF($J$80:$N$80,C81,J81:N81)</f>
        <v>0</v>
      </c>
      <c r="E81" s="1526">
        <f>ROUND(SUM(D81:D88),4)</f>
        <v>0</v>
      </c>
      <c r="F81" s="1527" t="str">
        <f>IF(E2="工业",SUMIF(L1:L12,G2,N1:N12),"——")</f>
        <v>——</v>
      </c>
      <c r="G81" s="2636"/>
      <c r="H81" s="2654" t="str">
        <f t="shared" ref="H81:H88" si="26">IFERROR(ROUNDDOWN($F$81*I81/2,4),"——")</f>
        <v>——</v>
      </c>
      <c r="I81" s="1525">
        <v>0.26</v>
      </c>
      <c r="J81" s="2637">
        <f t="shared" ref="J81:J88" si="27">K81+$G81</f>
        <v>0</v>
      </c>
      <c r="K81" s="2637">
        <f t="shared" ref="K81:K88" si="28">$L81+$G81</f>
        <v>0</v>
      </c>
      <c r="L81" s="2637">
        <v>0</v>
      </c>
      <c r="M81" s="2637">
        <f t="shared" ref="M81:N88" si="29">L81-$G81</f>
        <v>0</v>
      </c>
      <c r="N81" s="2637">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8">
        <f t="shared" si="25"/>
        <v>0</v>
      </c>
      <c r="E82" s="1538"/>
      <c r="F82" s="1527"/>
      <c r="G82" s="2636"/>
      <c r="H82" s="2654" t="str">
        <f t="shared" si="26"/>
        <v>——</v>
      </c>
      <c r="I82" s="1525">
        <v>0.33</v>
      </c>
      <c r="J82" s="2637">
        <f t="shared" si="27"/>
        <v>0</v>
      </c>
      <c r="K82" s="2637">
        <f t="shared" si="28"/>
        <v>0</v>
      </c>
      <c r="L82" s="2637">
        <v>0</v>
      </c>
      <c r="M82" s="2637">
        <f t="shared" si="29"/>
        <v>0</v>
      </c>
      <c r="N82" s="2637">
        <f t="shared" si="29"/>
        <v>0</v>
      </c>
      <c r="Z82" s="1649"/>
      <c r="AA82" s="1648"/>
      <c r="AG82" s="1647"/>
      <c r="AK82" s="1648"/>
    </row>
    <row r="83" spans="1:37" ht="24">
      <c r="A83" s="1519" t="s">
        <v>128</v>
      </c>
      <c r="B83" s="1528" t="str">
        <f>估价对象房地状况!G17</f>
        <v>零星有其他用地，基本不影响本宗地</v>
      </c>
      <c r="C83" s="1509" t="s">
        <v>124</v>
      </c>
      <c r="D83" s="2638">
        <f t="shared" si="25"/>
        <v>0</v>
      </c>
      <c r="E83" s="1538"/>
      <c r="F83" s="1527"/>
      <c r="G83" s="2636"/>
      <c r="H83" s="2654" t="str">
        <f t="shared" si="26"/>
        <v>——</v>
      </c>
      <c r="I83" s="1525">
        <v>0.05</v>
      </c>
      <c r="J83" s="2637">
        <f t="shared" si="27"/>
        <v>0</v>
      </c>
      <c r="K83" s="2637">
        <f t="shared" si="28"/>
        <v>0</v>
      </c>
      <c r="L83" s="2637">
        <v>0</v>
      </c>
      <c r="M83" s="2637">
        <f t="shared" si="29"/>
        <v>0</v>
      </c>
      <c r="N83" s="2637">
        <f t="shared" si="29"/>
        <v>0</v>
      </c>
      <c r="Z83" s="1649"/>
      <c r="AA83" s="1648"/>
      <c r="AG83" s="1647"/>
      <c r="AK83" s="1648"/>
    </row>
    <row r="84" spans="1:37" ht="14.25">
      <c r="A84" s="1519" t="s">
        <v>2136</v>
      </c>
      <c r="B84" s="1528" t="str">
        <f>估价对象房地状况!G22</f>
        <v>城市支路——裕民中路</v>
      </c>
      <c r="C84" s="1509" t="s">
        <v>124</v>
      </c>
      <c r="D84" s="2638">
        <f t="shared" si="25"/>
        <v>0</v>
      </c>
      <c r="E84" s="1538"/>
      <c r="F84" s="1527"/>
      <c r="G84" s="2636"/>
      <c r="H84" s="2654" t="str">
        <f t="shared" si="26"/>
        <v>——</v>
      </c>
      <c r="I84" s="1525">
        <v>0.04</v>
      </c>
      <c r="J84" s="2637">
        <f t="shared" si="27"/>
        <v>0</v>
      </c>
      <c r="K84" s="2637">
        <f t="shared" si="28"/>
        <v>0</v>
      </c>
      <c r="L84" s="2637">
        <v>0</v>
      </c>
      <c r="M84" s="2637">
        <f t="shared" si="29"/>
        <v>0</v>
      </c>
      <c r="N84" s="2637">
        <f t="shared" si="29"/>
        <v>0</v>
      </c>
      <c r="Z84" s="1649"/>
      <c r="AA84" s="1648"/>
      <c r="AG84" s="1647"/>
      <c r="AK84" s="1648"/>
    </row>
    <row r="85" spans="1:37" ht="24">
      <c r="A85" s="1519" t="s">
        <v>2133</v>
      </c>
      <c r="B85" s="2632" t="str">
        <f>估价对象房地状况!G19</f>
        <v>估价对象所在区域公共配套设施齐备情况</v>
      </c>
      <c r="C85" s="1509" t="s">
        <v>124</v>
      </c>
      <c r="D85" s="2638">
        <f t="shared" si="25"/>
        <v>0</v>
      </c>
      <c r="E85" s="1538"/>
      <c r="F85" s="1527"/>
      <c r="G85" s="2636"/>
      <c r="H85" s="2654" t="str">
        <f t="shared" si="26"/>
        <v>——</v>
      </c>
      <c r="I85" s="1525">
        <v>0.06</v>
      </c>
      <c r="J85" s="2637">
        <f t="shared" si="27"/>
        <v>0</v>
      </c>
      <c r="K85" s="2637">
        <f t="shared" si="28"/>
        <v>0</v>
      </c>
      <c r="L85" s="2637">
        <v>0</v>
      </c>
      <c r="M85" s="2637">
        <f t="shared" si="29"/>
        <v>0</v>
      </c>
      <c r="N85" s="2637">
        <f t="shared" si="29"/>
        <v>0</v>
      </c>
      <c r="Z85" s="1649"/>
      <c r="AA85" s="1648"/>
      <c r="AG85" s="1647"/>
      <c r="AK85" s="1648"/>
    </row>
    <row r="86" spans="1:37" ht="24">
      <c r="A86" s="1519" t="s">
        <v>2134</v>
      </c>
      <c r="B86" s="2632" t="str">
        <f>估价对象房地状况!G20</f>
        <v>估价对象所在区域基础设施水平</v>
      </c>
      <c r="C86" s="1509" t="s">
        <v>124</v>
      </c>
      <c r="D86" s="2638">
        <f t="shared" si="25"/>
        <v>0</v>
      </c>
      <c r="E86" s="1538"/>
      <c r="F86" s="1527"/>
      <c r="G86" s="2636"/>
      <c r="H86" s="2654" t="str">
        <f t="shared" si="26"/>
        <v>——</v>
      </c>
      <c r="I86" s="1525">
        <v>0.15</v>
      </c>
      <c r="J86" s="2637">
        <f t="shared" si="27"/>
        <v>0</v>
      </c>
      <c r="K86" s="2637">
        <f t="shared" si="28"/>
        <v>0</v>
      </c>
      <c r="L86" s="2637">
        <v>0</v>
      </c>
      <c r="M86" s="2637">
        <f t="shared" si="29"/>
        <v>0</v>
      </c>
      <c r="N86" s="2637">
        <f t="shared" si="29"/>
        <v>0</v>
      </c>
      <c r="Z86" s="1649"/>
      <c r="AA86" s="1648"/>
      <c r="AG86" s="1647"/>
      <c r="AK86" s="1648"/>
    </row>
    <row r="87" spans="1:37" ht="24">
      <c r="A87" s="1519" t="s">
        <v>2132</v>
      </c>
      <c r="B87" s="2631" t="s">
        <v>2884</v>
      </c>
      <c r="C87" s="1509" t="s">
        <v>124</v>
      </c>
      <c r="D87" s="2638">
        <f t="shared" si="25"/>
        <v>0</v>
      </c>
      <c r="E87" s="1538"/>
      <c r="F87" s="1527"/>
      <c r="G87" s="2636"/>
      <c r="H87" s="2654" t="str">
        <f t="shared" si="26"/>
        <v>——</v>
      </c>
      <c r="I87" s="1525">
        <v>0.05</v>
      </c>
      <c r="J87" s="2637">
        <f t="shared" si="27"/>
        <v>0</v>
      </c>
      <c r="K87" s="2637">
        <f t="shared" si="28"/>
        <v>0</v>
      </c>
      <c r="L87" s="2637">
        <v>0</v>
      </c>
      <c r="M87" s="2637">
        <f t="shared" si="29"/>
        <v>0</v>
      </c>
      <c r="N87" s="2637">
        <f t="shared" si="29"/>
        <v>0</v>
      </c>
      <c r="Z87" s="1649"/>
      <c r="AA87" s="1648"/>
      <c r="AG87" s="1647"/>
      <c r="AK87" s="1648"/>
    </row>
    <row r="88" spans="1:37" ht="36.75" thickBot="1">
      <c r="A88" s="1532" t="s">
        <v>2138</v>
      </c>
      <c r="B88" s="2633" t="str">
        <f>估价对象房地状况!G18</f>
        <v>该园区内无污染型企业，绿化较好，卫生条件良好，整体环境状况较好</v>
      </c>
      <c r="C88" s="1509" t="s">
        <v>124</v>
      </c>
      <c r="D88" s="2638">
        <f t="shared" si="25"/>
        <v>0</v>
      </c>
      <c r="E88" s="1539"/>
      <c r="F88" s="1527"/>
      <c r="G88" s="2636"/>
      <c r="H88" s="2654" t="str">
        <f t="shared" si="26"/>
        <v>——</v>
      </c>
      <c r="I88" s="1534">
        <v>0.06</v>
      </c>
      <c r="J88" s="2637">
        <f t="shared" si="27"/>
        <v>0</v>
      </c>
      <c r="K88" s="2637">
        <f t="shared" si="28"/>
        <v>0</v>
      </c>
      <c r="L88" s="2637">
        <v>0</v>
      </c>
      <c r="M88" s="2637">
        <f t="shared" si="29"/>
        <v>0</v>
      </c>
      <c r="N88" s="2637">
        <f t="shared" si="29"/>
        <v>0</v>
      </c>
      <c r="Z88" s="1649"/>
      <c r="AA88" s="1648"/>
      <c r="AG88" s="1647"/>
      <c r="AK88" s="1648"/>
    </row>
    <row r="90" spans="1:37">
      <c r="A90" s="3759" t="s">
        <v>2107</v>
      </c>
      <c r="B90" s="3759"/>
      <c r="C90" s="3759"/>
      <c r="D90" s="3759"/>
      <c r="E90" s="3759"/>
      <c r="F90" s="3759"/>
      <c r="G90" s="3759"/>
      <c r="H90" s="3759"/>
      <c r="I90" s="3759"/>
      <c r="J90" s="3759"/>
      <c r="K90" s="2643"/>
      <c r="L90" s="2643"/>
      <c r="M90" s="2643"/>
      <c r="N90" s="2643"/>
    </row>
    <row r="91" spans="1:37">
      <c r="A91" s="3761" t="s">
        <v>73</v>
      </c>
      <c r="B91" s="3761" t="s">
        <v>2108</v>
      </c>
      <c r="C91" s="1608" t="s">
        <v>2109</v>
      </c>
      <c r="D91" s="1609"/>
      <c r="E91" s="1609"/>
      <c r="F91" s="1609"/>
      <c r="G91" s="1609"/>
      <c r="H91" s="1609"/>
      <c r="I91" s="1609"/>
      <c r="J91" s="1610"/>
      <c r="K91" s="1598"/>
      <c r="L91" s="1598"/>
      <c r="M91" s="1598"/>
      <c r="N91" s="1598"/>
    </row>
    <row r="92" spans="1:37">
      <c r="A92" s="3761"/>
      <c r="B92" s="3761"/>
      <c r="C92" s="2642" t="s">
        <v>328</v>
      </c>
      <c r="D92" s="2642" t="s">
        <v>329</v>
      </c>
      <c r="E92" s="2642" t="s">
        <v>324</v>
      </c>
      <c r="F92" s="2642" t="s">
        <v>325</v>
      </c>
      <c r="G92" s="2642" t="s">
        <v>326</v>
      </c>
      <c r="H92" s="2642" t="s">
        <v>327</v>
      </c>
      <c r="I92" s="2642" t="s">
        <v>1524</v>
      </c>
      <c r="J92" s="2642" t="s">
        <v>1525</v>
      </c>
      <c r="K92" s="2642" t="s">
        <v>1526</v>
      </c>
      <c r="L92" s="2642" t="s">
        <v>1527</v>
      </c>
      <c r="M92" s="2642" t="s">
        <v>1528</v>
      </c>
      <c r="N92" s="2642" t="s">
        <v>1529</v>
      </c>
    </row>
    <row r="93" spans="1:37">
      <c r="A93" s="3762" t="s">
        <v>2110</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763"/>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763"/>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763"/>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763"/>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763"/>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763"/>
      <c r="B99" s="1611" t="s">
        <v>2111</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764"/>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762" t="s">
        <v>2112</v>
      </c>
      <c r="B101" s="1615" t="s">
        <v>98</v>
      </c>
      <c r="C101" s="1616">
        <f>$G$3</f>
        <v>5.84</v>
      </c>
      <c r="D101" s="1616">
        <f t="shared" ref="D101:N101" si="31">$G$3</f>
        <v>5.84</v>
      </c>
      <c r="E101" s="1616">
        <f t="shared" si="31"/>
        <v>5.84</v>
      </c>
      <c r="F101" s="1616">
        <f t="shared" si="31"/>
        <v>5.84</v>
      </c>
      <c r="G101" s="1616">
        <f t="shared" si="31"/>
        <v>5.84</v>
      </c>
      <c r="H101" s="1616">
        <f t="shared" si="31"/>
        <v>5.84</v>
      </c>
      <c r="I101" s="1616">
        <f t="shared" si="31"/>
        <v>5.84</v>
      </c>
      <c r="J101" s="1616">
        <f t="shared" si="31"/>
        <v>5.84</v>
      </c>
      <c r="K101" s="1616">
        <f t="shared" si="31"/>
        <v>5.84</v>
      </c>
      <c r="L101" s="1616">
        <f t="shared" si="31"/>
        <v>5.84</v>
      </c>
      <c r="M101" s="1616">
        <f t="shared" si="31"/>
        <v>5.84</v>
      </c>
      <c r="N101" s="1616">
        <f t="shared" si="31"/>
        <v>5.84</v>
      </c>
    </row>
    <row r="102" spans="1:14">
      <c r="A102" s="3763"/>
      <c r="B102" s="1611">
        <v>1</v>
      </c>
      <c r="C102" s="1612">
        <f>1.9362/C101</f>
        <v>0.33154109589041098</v>
      </c>
      <c r="D102" s="1612">
        <f>1.9362/D101</f>
        <v>0.33154109589041098</v>
      </c>
      <c r="E102" s="1612">
        <f>1.8629/E101</f>
        <v>0.31898972602739728</v>
      </c>
      <c r="F102" s="1612">
        <f>1.8629/F101</f>
        <v>0.31898972602739728</v>
      </c>
      <c r="G102" s="1612">
        <f>1.8629/G101</f>
        <v>0.31898972602739728</v>
      </c>
      <c r="H102" s="1612">
        <f>1.8629/H101</f>
        <v>0.31898972602739728</v>
      </c>
      <c r="I102" s="1612">
        <f>1.8629/I101</f>
        <v>0.31898972602739728</v>
      </c>
      <c r="J102" s="1612">
        <f>1.942/J101</f>
        <v>0.33253424657534247</v>
      </c>
      <c r="K102" s="1612">
        <f>1.942/K101</f>
        <v>0.33253424657534247</v>
      </c>
      <c r="L102" s="1612">
        <f>1.942/L101</f>
        <v>0.33253424657534247</v>
      </c>
      <c r="M102" s="1612">
        <f>1.942/M101</f>
        <v>0.33253424657534247</v>
      </c>
      <c r="N102" s="1612">
        <f>1.942/N101</f>
        <v>0.33253424657534247</v>
      </c>
    </row>
    <row r="103" spans="1:14">
      <c r="A103" s="3763"/>
      <c r="B103" s="1611">
        <v>2</v>
      </c>
      <c r="C103" s="1612">
        <f>1.4198/C101</f>
        <v>0.24311643835616439</v>
      </c>
      <c r="D103" s="1612">
        <f>1.4198/D101</f>
        <v>0.24311643835616439</v>
      </c>
      <c r="E103" s="1612">
        <f>1.3372/E101</f>
        <v>0.22897260273972603</v>
      </c>
      <c r="F103" s="1612">
        <f>1.3372/F101</f>
        <v>0.22897260273972603</v>
      </c>
      <c r="G103" s="1612">
        <f>1.3372/G101</f>
        <v>0.22897260273972603</v>
      </c>
      <c r="H103" s="1612">
        <f>1.3372/H101</f>
        <v>0.22897260273972603</v>
      </c>
      <c r="I103" s="1612">
        <f>1.3372/I101</f>
        <v>0.22897260273972603</v>
      </c>
      <c r="J103" s="1612">
        <f>1.2799/J101</f>
        <v>0.21916095890410961</v>
      </c>
      <c r="K103" s="1612">
        <f>1.2799/K101</f>
        <v>0.21916095890410961</v>
      </c>
      <c r="L103" s="1612">
        <f>1.2799/L101</f>
        <v>0.21916095890410961</v>
      </c>
      <c r="M103" s="1612">
        <f>1.2799/M101</f>
        <v>0.21916095890410961</v>
      </c>
      <c r="N103" s="1612">
        <f>1.2799/N101</f>
        <v>0.21916095890410961</v>
      </c>
    </row>
    <row r="104" spans="1:14">
      <c r="A104" s="3763"/>
      <c r="B104" s="1611">
        <v>3</v>
      </c>
      <c r="C104" s="1612">
        <f>1.1594/C101</f>
        <v>0.19852739726027396</v>
      </c>
      <c r="D104" s="1612">
        <f>1.1594/D101</f>
        <v>0.19852739726027396</v>
      </c>
      <c r="E104" s="1612">
        <f>1.0788/E101</f>
        <v>0.18472602739726027</v>
      </c>
      <c r="F104" s="1612">
        <f>1.0788/F101</f>
        <v>0.18472602739726027</v>
      </c>
      <c r="G104" s="1612">
        <f>1.0788/G101</f>
        <v>0.18472602739726027</v>
      </c>
      <c r="H104" s="1612">
        <f>1.0788/H101</f>
        <v>0.18472602739726027</v>
      </c>
      <c r="I104" s="1612">
        <f>1.0788/I101</f>
        <v>0.18472602739726027</v>
      </c>
      <c r="J104" s="1612">
        <f>1.0072/J101</f>
        <v>0.17246575342465756</v>
      </c>
      <c r="K104" s="1612">
        <f>1.0072/K101</f>
        <v>0.17246575342465756</v>
      </c>
      <c r="L104" s="1612">
        <f>1.0072/L101</f>
        <v>0.17246575342465756</v>
      </c>
      <c r="M104" s="1612">
        <f>1.0072/M101</f>
        <v>0.17246575342465756</v>
      </c>
      <c r="N104" s="1612">
        <f>1.0072/N101</f>
        <v>0.17246575342465756</v>
      </c>
    </row>
    <row r="105" spans="1:14">
      <c r="A105" s="3763"/>
      <c r="B105" s="1611">
        <v>4</v>
      </c>
      <c r="C105" s="1612">
        <f>0.9622/C101</f>
        <v>0.16476027397260276</v>
      </c>
      <c r="D105" s="1612">
        <f>0.9622/D101</f>
        <v>0.16476027397260276</v>
      </c>
      <c r="E105" s="1612">
        <f>0.8656/E101</f>
        <v>0.14821917808219179</v>
      </c>
      <c r="F105" s="1612">
        <f>0.8656/F101</f>
        <v>0.14821917808219179</v>
      </c>
      <c r="G105" s="1612">
        <f>0.8656/G101</f>
        <v>0.14821917808219179</v>
      </c>
      <c r="H105" s="1612">
        <f>0.8656/H101</f>
        <v>0.14821917808219179</v>
      </c>
      <c r="I105" s="1612">
        <f>0.8656/I101</f>
        <v>0.14821917808219179</v>
      </c>
      <c r="J105" s="1612">
        <f>0.7525/J101</f>
        <v>0.1288527397260274</v>
      </c>
      <c r="K105" s="1612">
        <f>0.7525/K101</f>
        <v>0.1288527397260274</v>
      </c>
      <c r="L105" s="1612">
        <f>0.7525/L101</f>
        <v>0.1288527397260274</v>
      </c>
      <c r="M105" s="1612">
        <f>0.7525/M101</f>
        <v>0.1288527397260274</v>
      </c>
      <c r="N105" s="1612">
        <f>0.7525/N101</f>
        <v>0.1288527397260274</v>
      </c>
    </row>
    <row r="106" spans="1:14">
      <c r="A106" s="3763"/>
      <c r="B106" s="1611">
        <v>5</v>
      </c>
      <c r="C106" s="1612">
        <f>0.8417/C101</f>
        <v>0.14412671232876711</v>
      </c>
      <c r="D106" s="1612">
        <f>0.8417/D101</f>
        <v>0.14412671232876711</v>
      </c>
      <c r="E106" s="1612">
        <f>0.7371/E101</f>
        <v>0.12621575342465755</v>
      </c>
      <c r="F106" s="1612">
        <f>0.7371/F101</f>
        <v>0.12621575342465755</v>
      </c>
      <c r="G106" s="1612">
        <f>0.7371/G101</f>
        <v>0.12621575342465755</v>
      </c>
      <c r="H106" s="1612">
        <f>0.7371/H101</f>
        <v>0.12621575342465755</v>
      </c>
      <c r="I106" s="1612">
        <f>0.7371/I101</f>
        <v>0.12621575342465755</v>
      </c>
      <c r="J106" s="1612">
        <f>0.5659/J101</f>
        <v>9.6900684931506845E-2</v>
      </c>
      <c r="K106" s="1612">
        <f>0.5659/K101</f>
        <v>9.6900684931506845E-2</v>
      </c>
      <c r="L106" s="1612">
        <f>0.5659/L101</f>
        <v>9.6900684931506845E-2</v>
      </c>
      <c r="M106" s="1612">
        <f>0.5659/M101</f>
        <v>9.6900684931506845E-2</v>
      </c>
      <c r="N106" s="1612">
        <f>0.5659/N101</f>
        <v>9.6900684931506845E-2</v>
      </c>
    </row>
    <row r="107" spans="1:14">
      <c r="A107" s="3763"/>
      <c r="B107" s="1611">
        <v>6</v>
      </c>
      <c r="C107" s="1612">
        <f>0.7608/C101</f>
        <v>0.13027397260273973</v>
      </c>
      <c r="D107" s="1612">
        <f>0.7608/D101</f>
        <v>0.13027397260273973</v>
      </c>
      <c r="E107" s="1612">
        <f>0.6482/E101</f>
        <v>0.11099315068493151</v>
      </c>
      <c r="F107" s="1612">
        <f>0.6482/F101</f>
        <v>0.11099315068493151</v>
      </c>
      <c r="G107" s="1612">
        <f>0.6482/G101</f>
        <v>0.11099315068493151</v>
      </c>
      <c r="H107" s="1612">
        <f>0.6482/H101</f>
        <v>0.11099315068493151</v>
      </c>
      <c r="I107" s="1612">
        <f>0.6482/I101</f>
        <v>0.11099315068493151</v>
      </c>
      <c r="J107" s="1612">
        <f>0.4525/J101</f>
        <v>7.7482876712328771E-2</v>
      </c>
      <c r="K107" s="1612">
        <f>0.4525/K101</f>
        <v>7.7482876712328771E-2</v>
      </c>
      <c r="L107" s="1612">
        <f>0.4525/L101</f>
        <v>7.7482876712328771E-2</v>
      </c>
      <c r="M107" s="1612">
        <f>0.4525/M101</f>
        <v>7.7482876712328771E-2</v>
      </c>
      <c r="N107" s="1612">
        <f>0.4525/N101</f>
        <v>7.7482876712328771E-2</v>
      </c>
    </row>
    <row r="108" spans="1:14">
      <c r="A108" s="3763"/>
      <c r="B108" s="3765" t="s">
        <v>2114</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764"/>
      <c r="B109" s="3766"/>
      <c r="C109" s="1614">
        <f>(-0.163*(C108^2)-0.59*C108+7617)*(10^(-4))/C101</f>
        <v>0.13037265410958904</v>
      </c>
      <c r="D109" s="1614">
        <f>(-0.163*(D108^2)-0.59*D108+7617)*(10^(-4))/D101</f>
        <v>0.13037265410958904</v>
      </c>
      <c r="E109" s="1614">
        <f>(-0.161*(E108^2)-7.509*E108+6533)*(10^(-4))/E101</f>
        <v>0.11145589041095892</v>
      </c>
      <c r="F109" s="1614">
        <f>(-0.161*(F108^2)-7.509*F108+6533)*(10^(-4))/F101</f>
        <v>0.11145589041095892</v>
      </c>
      <c r="G109" s="1614">
        <f>(-0.161*(G108^2)-7.509*G108+6533)*(10^(-4))/G101</f>
        <v>0.11145589041095892</v>
      </c>
      <c r="H109" s="1614">
        <f>(-0.161*(H108^2)-7.509*H108+6533)*(10^(-4))/H101</f>
        <v>0.11145589041095892</v>
      </c>
      <c r="I109" s="1614">
        <f>(-0.161*(I108^2)-7.509*I108+6533)*(10^(-4))/I101</f>
        <v>0.11145589041095892</v>
      </c>
      <c r="J109" s="1614">
        <f>(-0.214*(J108^2)-21.991*J108+4665)*(10^(-4))/J101</f>
        <v>7.8717482876712333E-2</v>
      </c>
      <c r="K109" s="1614">
        <f>(-0.214*(K108^2)-21.991*K108+4665)*(10^(-4))/K101</f>
        <v>7.8717482876712333E-2</v>
      </c>
      <c r="L109" s="1614">
        <f>(-0.214*(L108^2)-21.991*L108+4665)*(10^(-4))/L101</f>
        <v>7.8717482876712333E-2</v>
      </c>
      <c r="M109" s="1614">
        <f>(-0.214*(M108^2)-21.991*M108+4665)*(10^(-4))/M101</f>
        <v>7.8717482876712333E-2</v>
      </c>
      <c r="N109" s="1614">
        <f>(-0.214*(N108^2)-21.991*N108+4665)*(10^(-4))/N101</f>
        <v>7.8717482876712333E-2</v>
      </c>
    </row>
    <row r="110" spans="1:14">
      <c r="A110" s="3760" t="s">
        <v>2115</v>
      </c>
      <c r="B110" s="3760"/>
      <c r="C110" s="3760"/>
      <c r="D110" s="3760"/>
      <c r="E110" s="3760"/>
      <c r="F110" s="3760"/>
      <c r="G110" s="3760"/>
      <c r="H110" s="3760"/>
      <c r="I110" s="3760"/>
      <c r="J110" s="3760"/>
      <c r="K110" s="2641"/>
      <c r="L110" s="2641"/>
      <c r="M110" s="2641"/>
      <c r="N110" s="2641"/>
    </row>
    <row r="112" spans="1:14" ht="12.75" thickBot="1"/>
    <row r="113" spans="1:13" ht="25.5" thickBot="1">
      <c r="A113" s="1624" t="s">
        <v>2117</v>
      </c>
      <c r="B113" s="2644">
        <f>G3</f>
        <v>5.84</v>
      </c>
      <c r="C113" s="1625" t="s">
        <v>2118</v>
      </c>
      <c r="D113" s="1626">
        <f>SUMPRODUCT((A115:A118=F113)*(B114:M114=H113)*B115:M118)</f>
        <v>0.68759999999999999</v>
      </c>
      <c r="E113" s="1627" t="s">
        <v>73</v>
      </c>
      <c r="F113" s="1628" t="str">
        <f>E2</f>
        <v>办公</v>
      </c>
      <c r="G113" s="1627" t="s">
        <v>1907</v>
      </c>
      <c r="H113" s="1628" t="str">
        <f>G2</f>
        <v>八级</v>
      </c>
      <c r="I113" s="1627"/>
      <c r="J113" s="1619"/>
      <c r="K113" s="1619"/>
      <c r="L113" s="1619"/>
      <c r="M113" s="1619"/>
    </row>
    <row r="114" spans="1:13" ht="12.75">
      <c r="A114" s="1631"/>
      <c r="B114" s="1632" t="s">
        <v>328</v>
      </c>
      <c r="C114" s="1632" t="s">
        <v>329</v>
      </c>
      <c r="D114" s="1632" t="s">
        <v>324</v>
      </c>
      <c r="E114" s="1633" t="s">
        <v>325</v>
      </c>
      <c r="F114" s="1633" t="s">
        <v>326</v>
      </c>
      <c r="G114" s="1633" t="s">
        <v>327</v>
      </c>
      <c r="H114" s="1634" t="s">
        <v>1524</v>
      </c>
      <c r="I114" s="1634" t="s">
        <v>1525</v>
      </c>
      <c r="J114" s="1635" t="s">
        <v>1526</v>
      </c>
      <c r="K114" s="1635" t="s">
        <v>1527</v>
      </c>
      <c r="L114" s="1635" t="s">
        <v>1528</v>
      </c>
      <c r="M114" s="1636" t="s">
        <v>1529</v>
      </c>
    </row>
    <row r="115" spans="1:13" ht="12.75">
      <c r="A115" s="1637" t="s">
        <v>2119</v>
      </c>
      <c r="B115" s="1638">
        <f>ROUND(0.9335-0.0094*B113,4)</f>
        <v>0.87860000000000005</v>
      </c>
      <c r="C115" s="1638">
        <f>B115</f>
        <v>0.87860000000000005</v>
      </c>
      <c r="D115" s="1638">
        <f>ROUND(0.8331-0.0109*B113,4)</f>
        <v>0.76939999999999997</v>
      </c>
      <c r="E115" s="1638">
        <f>D115</f>
        <v>0.76939999999999997</v>
      </c>
      <c r="F115" s="1638">
        <f>E115</f>
        <v>0.76939999999999997</v>
      </c>
      <c r="G115" s="1638">
        <f>F115</f>
        <v>0.76939999999999997</v>
      </c>
      <c r="H115" s="1638">
        <f>G115</f>
        <v>0.76939999999999997</v>
      </c>
      <c r="I115" s="1638">
        <f>ROUND(0.689-0.0155*B113,4)</f>
        <v>0.59850000000000003</v>
      </c>
      <c r="J115" s="1638">
        <f t="shared" ref="J115:M118" si="33">I115</f>
        <v>0.59850000000000003</v>
      </c>
      <c r="K115" s="1638">
        <f t="shared" si="33"/>
        <v>0.59850000000000003</v>
      </c>
      <c r="L115" s="1638">
        <f t="shared" si="33"/>
        <v>0.59850000000000003</v>
      </c>
      <c r="M115" s="1639">
        <f t="shared" si="33"/>
        <v>0.59850000000000003</v>
      </c>
    </row>
    <row r="116" spans="1:13" ht="12.75">
      <c r="A116" s="1637" t="s">
        <v>2120</v>
      </c>
      <c r="B116" s="1638">
        <f>ROUND(0.949-0.012*B113,4)</f>
        <v>0.87890000000000001</v>
      </c>
      <c r="C116" s="1638">
        <f>B116</f>
        <v>0.87890000000000001</v>
      </c>
      <c r="D116" s="1638">
        <f>ROUND(0.8567-0.013*B113,4)</f>
        <v>0.78080000000000005</v>
      </c>
      <c r="E116" s="1638">
        <f t="shared" ref="E116:H117" si="34">D116</f>
        <v>0.78080000000000005</v>
      </c>
      <c r="F116" s="1638">
        <f t="shared" si="34"/>
        <v>0.78080000000000005</v>
      </c>
      <c r="G116" s="1638">
        <f t="shared" si="34"/>
        <v>0.78080000000000005</v>
      </c>
      <c r="H116" s="1638">
        <f t="shared" si="34"/>
        <v>0.78080000000000005</v>
      </c>
      <c r="I116" s="1638">
        <f>ROUND(0.7694-0.014*B113,4)</f>
        <v>0.68759999999999999</v>
      </c>
      <c r="J116" s="1638">
        <f t="shared" si="33"/>
        <v>0.68759999999999999</v>
      </c>
      <c r="K116" s="1638">
        <f t="shared" si="33"/>
        <v>0.68759999999999999</v>
      </c>
      <c r="L116" s="1638">
        <f t="shared" si="33"/>
        <v>0.68759999999999999</v>
      </c>
      <c r="M116" s="1639">
        <f t="shared" si="33"/>
        <v>0.68759999999999999</v>
      </c>
    </row>
    <row r="117" spans="1:13" ht="12.75">
      <c r="A117" s="1640" t="s">
        <v>1217</v>
      </c>
      <c r="B117" s="1638">
        <f>ROUND(0.8808-0.006*B113,4)</f>
        <v>0.8458</v>
      </c>
      <c r="C117" s="1638">
        <f>B117</f>
        <v>0.8458</v>
      </c>
      <c r="D117" s="1638">
        <f>ROUND(0.8748-0.008*B113,4)</f>
        <v>0.82809999999999995</v>
      </c>
      <c r="E117" s="1638">
        <f t="shared" si="34"/>
        <v>0.82809999999999995</v>
      </c>
      <c r="F117" s="1638">
        <f t="shared" si="34"/>
        <v>0.82809999999999995</v>
      </c>
      <c r="G117" s="1638">
        <f t="shared" si="34"/>
        <v>0.82809999999999995</v>
      </c>
      <c r="H117" s="1638">
        <f t="shared" si="34"/>
        <v>0.82809999999999995</v>
      </c>
      <c r="I117" s="1638">
        <f>ROUND(0.7412-0.0095*B113,4)</f>
        <v>0.68569999999999998</v>
      </c>
      <c r="J117" s="1638">
        <f t="shared" si="33"/>
        <v>0.68569999999999998</v>
      </c>
      <c r="K117" s="1638">
        <f t="shared" si="33"/>
        <v>0.68569999999999998</v>
      </c>
      <c r="L117" s="1638">
        <f t="shared" si="33"/>
        <v>0.68569999999999998</v>
      </c>
      <c r="M117" s="1639">
        <f t="shared" si="33"/>
        <v>0.68569999999999998</v>
      </c>
    </row>
    <row r="118" spans="1:13" ht="13.5" thickBot="1">
      <c r="A118" s="1128" t="s">
        <v>2121</v>
      </c>
      <c r="B118" s="1641">
        <f>ROUND(0.7275-0.01*B113,4)</f>
        <v>0.66910000000000003</v>
      </c>
      <c r="C118" s="1641">
        <f>B118</f>
        <v>0.66910000000000003</v>
      </c>
      <c r="D118" s="1641">
        <f>ROUND(0.7043-0.012*B113,4)</f>
        <v>0.63419999999999999</v>
      </c>
      <c r="E118" s="1641">
        <f>D118</f>
        <v>0.63419999999999999</v>
      </c>
      <c r="F118" s="1641">
        <f>E118</f>
        <v>0.63419999999999999</v>
      </c>
      <c r="G118" s="1641">
        <f>ROUND(0.6299-0.0122*B113,4)</f>
        <v>0.55869999999999997</v>
      </c>
      <c r="H118" s="1641">
        <f>G118</f>
        <v>0.55869999999999997</v>
      </c>
      <c r="I118" s="1641">
        <f>ROUND(0.5667-0.0136*B113,4)</f>
        <v>0.48730000000000001</v>
      </c>
      <c r="J118" s="1641">
        <f t="shared" si="33"/>
        <v>0.48730000000000001</v>
      </c>
      <c r="K118" s="1641">
        <f t="shared" si="33"/>
        <v>0.48730000000000001</v>
      </c>
      <c r="L118" s="1641">
        <f t="shared" si="33"/>
        <v>0.48730000000000001</v>
      </c>
      <c r="M118" s="1642">
        <f t="shared" si="33"/>
        <v>0.48730000000000001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1907</v>
      </c>
      <c r="B1" s="1543" t="s">
        <v>1518</v>
      </c>
      <c r="C1" s="1543" t="s">
        <v>1519</v>
      </c>
      <c r="D1" s="1543" t="s">
        <v>1520</v>
      </c>
      <c r="E1" s="1543" t="s">
        <v>1521</v>
      </c>
      <c r="F1" s="1543" t="s">
        <v>1522</v>
      </c>
      <c r="G1" s="1543" t="s">
        <v>1523</v>
      </c>
      <c r="H1" s="1543" t="s">
        <v>1524</v>
      </c>
      <c r="I1" s="1543" t="s">
        <v>1525</v>
      </c>
      <c r="J1" s="1543" t="s">
        <v>1526</v>
      </c>
      <c r="K1" s="1543" t="s">
        <v>1527</v>
      </c>
      <c r="L1" s="1543" t="s">
        <v>1528</v>
      </c>
      <c r="M1" s="1544" t="s">
        <v>1529</v>
      </c>
    </row>
    <row r="2" spans="1:13" ht="19.5" customHeight="1">
      <c r="A2" s="1569" t="s">
        <v>1544</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1545</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2195</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1547</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1908</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1909</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1910</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1911</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1912</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1913</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1914</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1915</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1916</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1917</v>
      </c>
      <c r="B16" s="1588"/>
      <c r="C16" s="1589"/>
      <c r="D16" s="1589"/>
      <c r="E16" s="1588"/>
      <c r="F16" s="1589"/>
      <c r="G16" s="1589"/>
    </row>
    <row r="17" spans="1:9" ht="19.5" customHeight="1">
      <c r="A17" s="1520" t="s">
        <v>1918</v>
      </c>
      <c r="B17" s="1591" t="s">
        <v>1919</v>
      </c>
      <c r="C17" s="1773" t="s">
        <v>2219</v>
      </c>
      <c r="D17" s="1592"/>
      <c r="E17" s="1520" t="s">
        <v>1920</v>
      </c>
      <c r="F17" s="1593"/>
      <c r="G17" s="1593"/>
    </row>
    <row r="18" spans="1:9" s="1599" customFormat="1" ht="19.5" customHeight="1">
      <c r="A18" s="3761" t="s">
        <v>1544</v>
      </c>
      <c r="B18" s="1594" t="s">
        <v>1921</v>
      </c>
      <c r="C18" s="1595" t="s">
        <v>1922</v>
      </c>
      <c r="D18" s="1596"/>
      <c r="E18" s="1594">
        <v>1</v>
      </c>
      <c r="F18" s="1597" t="s">
        <v>1923</v>
      </c>
      <c r="G18" s="1598"/>
      <c r="H18" s="1590"/>
      <c r="I18" s="1590"/>
    </row>
    <row r="19" spans="1:9" s="1599" customFormat="1" ht="19.5" customHeight="1">
      <c r="A19" s="3761"/>
      <c r="B19" s="3761" t="s">
        <v>1924</v>
      </c>
      <c r="C19" s="1595" t="s">
        <v>1925</v>
      </c>
      <c r="D19" s="1596"/>
      <c r="E19" s="1594">
        <v>0.9</v>
      </c>
      <c r="F19" s="1597" t="s">
        <v>1926</v>
      </c>
      <c r="G19" s="1598"/>
      <c r="H19" s="1590"/>
      <c r="I19" s="1590"/>
    </row>
    <row r="20" spans="1:9" s="1599" customFormat="1" ht="19.5" customHeight="1">
      <c r="A20" s="3761"/>
      <c r="B20" s="3761"/>
      <c r="C20" s="1595" t="s">
        <v>1927</v>
      </c>
      <c r="D20" s="1596"/>
      <c r="E20" s="1594">
        <v>1.1000000000000001</v>
      </c>
      <c r="F20" s="1597" t="s">
        <v>1928</v>
      </c>
      <c r="G20" s="1598"/>
      <c r="H20" s="1590"/>
      <c r="I20" s="1590"/>
    </row>
    <row r="21" spans="1:9" s="1599" customFormat="1" ht="19.5" customHeight="1">
      <c r="A21" s="3761"/>
      <c r="B21" s="3761"/>
      <c r="C21" s="1595" t="s">
        <v>1929</v>
      </c>
      <c r="D21" s="1596"/>
      <c r="E21" s="1594">
        <v>0.8</v>
      </c>
      <c r="F21" s="1597" t="s">
        <v>1930</v>
      </c>
      <c r="G21" s="1598"/>
      <c r="H21" s="1590"/>
      <c r="I21" s="1590"/>
    </row>
    <row r="22" spans="1:9" s="1599" customFormat="1" ht="19.5" customHeight="1">
      <c r="A22" s="3761"/>
      <c r="B22" s="3761"/>
      <c r="C22" s="1595" t="s">
        <v>1931</v>
      </c>
      <c r="D22" s="1596"/>
      <c r="E22" s="1594">
        <v>0.5</v>
      </c>
      <c r="F22" s="1597"/>
      <c r="G22" s="1598"/>
      <c r="H22" s="1590"/>
      <c r="I22" s="1590"/>
    </row>
    <row r="23" spans="1:9" s="1599" customFormat="1" ht="19.5" customHeight="1">
      <c r="A23" s="3761" t="s">
        <v>1545</v>
      </c>
      <c r="B23" s="1594" t="s">
        <v>1921</v>
      </c>
      <c r="C23" s="1595" t="s">
        <v>1932</v>
      </c>
      <c r="D23" s="1596"/>
      <c r="E23" s="1594">
        <v>1</v>
      </c>
      <c r="F23" s="1597" t="s">
        <v>1933</v>
      </c>
      <c r="G23" s="1598"/>
      <c r="H23" s="1590"/>
      <c r="I23" s="1590"/>
    </row>
    <row r="24" spans="1:9" s="1599" customFormat="1" ht="19.5" customHeight="1">
      <c r="A24" s="3761"/>
      <c r="B24" s="3761" t="s">
        <v>1924</v>
      </c>
      <c r="C24" s="1595" t="s">
        <v>1934</v>
      </c>
      <c r="D24" s="1596"/>
      <c r="E24" s="1594">
        <v>0.5</v>
      </c>
      <c r="F24" s="1597"/>
      <c r="G24" s="1598"/>
      <c r="H24" s="1590"/>
      <c r="I24" s="1590"/>
    </row>
    <row r="25" spans="1:9" s="1599" customFormat="1" ht="19.5" customHeight="1">
      <c r="A25" s="3761"/>
      <c r="B25" s="3761"/>
      <c r="C25" s="1595" t="s">
        <v>1935</v>
      </c>
      <c r="D25" s="1596"/>
      <c r="E25" s="1594">
        <v>1.1000000000000001</v>
      </c>
      <c r="F25" s="1597"/>
      <c r="G25" s="1598"/>
      <c r="H25" s="1590"/>
      <c r="I25" s="1590"/>
    </row>
    <row r="26" spans="1:9" s="1599" customFormat="1" ht="19.5" customHeight="1">
      <c r="A26" s="3761"/>
      <c r="B26" s="3761"/>
      <c r="C26" s="1595" t="s">
        <v>1936</v>
      </c>
      <c r="D26" s="1596"/>
      <c r="E26" s="1594">
        <v>1.1000000000000001</v>
      </c>
      <c r="F26" s="1597"/>
      <c r="G26" s="1598"/>
      <c r="H26" s="1590"/>
      <c r="I26" s="1590"/>
    </row>
    <row r="27" spans="1:9" s="1599" customFormat="1" ht="19.5" customHeight="1">
      <c r="A27" s="3761"/>
      <c r="B27" s="3761"/>
      <c r="C27" s="1595" t="s">
        <v>1937</v>
      </c>
      <c r="D27" s="1596"/>
      <c r="E27" s="1594">
        <v>0.9</v>
      </c>
      <c r="F27" s="1597" t="s">
        <v>1938</v>
      </c>
      <c r="G27" s="1598"/>
      <c r="H27" s="1590"/>
      <c r="I27" s="1590"/>
    </row>
    <row r="28" spans="1:9" s="1599" customFormat="1" ht="19.5" customHeight="1">
      <c r="A28" s="3761"/>
      <c r="B28" s="3761"/>
      <c r="C28" s="1595" t="s">
        <v>1939</v>
      </c>
      <c r="D28" s="1596"/>
      <c r="E28" s="1594">
        <v>0.9</v>
      </c>
      <c r="F28" s="1597" t="s">
        <v>1940</v>
      </c>
      <c r="G28" s="1598"/>
      <c r="H28" s="1590"/>
      <c r="I28" s="1590"/>
    </row>
    <row r="29" spans="1:9" s="1599" customFormat="1" ht="19.5" customHeight="1">
      <c r="A29" s="3761"/>
      <c r="B29" s="3761"/>
      <c r="C29" s="1595" t="s">
        <v>1941</v>
      </c>
      <c r="D29" s="1596"/>
      <c r="E29" s="1594">
        <v>0.9</v>
      </c>
      <c r="F29" s="1597" t="s">
        <v>1942</v>
      </c>
      <c r="G29" s="1598"/>
      <c r="H29" s="1590"/>
      <c r="I29" s="1590"/>
    </row>
    <row r="30" spans="1:9" s="1599" customFormat="1" ht="19.5" customHeight="1">
      <c r="A30" s="3761"/>
      <c r="B30" s="3761"/>
      <c r="C30" s="1595" t="s">
        <v>1943</v>
      </c>
      <c r="D30" s="1596"/>
      <c r="E30" s="1594">
        <v>0.9</v>
      </c>
      <c r="F30" s="1597" t="s">
        <v>1944</v>
      </c>
      <c r="G30" s="1598"/>
      <c r="H30" s="1590"/>
      <c r="I30" s="1590"/>
    </row>
    <row r="31" spans="1:9" s="1599" customFormat="1" ht="19.5" customHeight="1">
      <c r="A31" s="3761"/>
      <c r="B31" s="3761"/>
      <c r="C31" s="1595" t="s">
        <v>1945</v>
      </c>
      <c r="D31" s="1596"/>
      <c r="E31" s="1594">
        <v>0.8</v>
      </c>
      <c r="F31" s="1597" t="s">
        <v>1946</v>
      </c>
      <c r="G31" s="1598"/>
      <c r="H31" s="1590"/>
      <c r="I31" s="1590"/>
    </row>
    <row r="32" spans="1:9" s="1599" customFormat="1" ht="19.5" customHeight="1">
      <c r="A32" s="3761"/>
      <c r="B32" s="3761"/>
      <c r="C32" s="1595" t="s">
        <v>1947</v>
      </c>
      <c r="D32" s="1596"/>
      <c r="E32" s="1594">
        <v>0.8</v>
      </c>
      <c r="F32" s="1597" t="s">
        <v>1948</v>
      </c>
      <c r="G32" s="1598"/>
      <c r="H32" s="1590"/>
      <c r="I32" s="1590"/>
    </row>
    <row r="33" spans="1:9" s="1599" customFormat="1" ht="19.5" customHeight="1">
      <c r="A33" s="3761" t="s">
        <v>1546</v>
      </c>
      <c r="B33" s="1594" t="s">
        <v>1921</v>
      </c>
      <c r="C33" s="1595" t="s">
        <v>1949</v>
      </c>
      <c r="D33" s="1596"/>
      <c r="E33" s="1594">
        <v>1</v>
      </c>
      <c r="F33" s="1597" t="s">
        <v>1950</v>
      </c>
      <c r="G33" s="1598"/>
      <c r="H33" s="1590"/>
      <c r="I33" s="1590"/>
    </row>
    <row r="34" spans="1:9" s="1599" customFormat="1" ht="19.5" customHeight="1">
      <c r="A34" s="3761"/>
      <c r="B34" s="1594" t="s">
        <v>1924</v>
      </c>
      <c r="C34" s="1595" t="s">
        <v>1951</v>
      </c>
      <c r="D34" s="1596"/>
      <c r="E34" s="1594">
        <v>1.5</v>
      </c>
      <c r="F34" s="1597" t="s">
        <v>1952</v>
      </c>
      <c r="G34" s="1598"/>
      <c r="H34" s="1590"/>
      <c r="I34" s="1590"/>
    </row>
    <row r="35" spans="1:9" s="1599" customFormat="1" ht="19.5" customHeight="1">
      <c r="A35" s="3761" t="s">
        <v>1547</v>
      </c>
      <c r="B35" s="1594" t="s">
        <v>1921</v>
      </c>
      <c r="C35" s="1595" t="s">
        <v>1953</v>
      </c>
      <c r="D35" s="1596"/>
      <c r="E35" s="1594">
        <v>1</v>
      </c>
      <c r="F35" s="1597" t="s">
        <v>1954</v>
      </c>
      <c r="G35" s="1598"/>
      <c r="H35" s="1590"/>
      <c r="I35" s="1590"/>
    </row>
    <row r="36" spans="1:9" s="1599" customFormat="1" ht="19.5" customHeight="1">
      <c r="A36" s="3761"/>
      <c r="B36" s="3761" t="s">
        <v>1924</v>
      </c>
      <c r="C36" s="1595" t="s">
        <v>1955</v>
      </c>
      <c r="D36" s="1596"/>
      <c r="E36" s="1594">
        <v>1</v>
      </c>
      <c r="F36" s="1597" t="s">
        <v>1956</v>
      </c>
      <c r="G36" s="1598"/>
      <c r="H36" s="1590"/>
      <c r="I36" s="1590"/>
    </row>
    <row r="37" spans="1:9" s="1599" customFormat="1" ht="19.5" customHeight="1">
      <c r="A37" s="3761"/>
      <c r="B37" s="3761"/>
      <c r="C37" s="1595" t="s">
        <v>1957</v>
      </c>
      <c r="D37" s="1596"/>
      <c r="E37" s="1594">
        <v>1.5</v>
      </c>
      <c r="F37" s="1597" t="s">
        <v>1958</v>
      </c>
      <c r="G37" s="1598"/>
      <c r="H37" s="1590"/>
      <c r="I37" s="1590"/>
    </row>
    <row r="38" spans="1:9" s="1599" customFormat="1" ht="19.5" customHeight="1">
      <c r="A38" s="3761"/>
      <c r="B38" s="3761"/>
      <c r="C38" s="1595" t="s">
        <v>1959</v>
      </c>
      <c r="D38" s="1596"/>
      <c r="E38" s="1594">
        <v>1</v>
      </c>
      <c r="F38" s="1597" t="s">
        <v>1960</v>
      </c>
      <c r="G38" s="1598"/>
      <c r="H38" s="1590"/>
      <c r="I38" s="1590"/>
    </row>
    <row r="39" spans="1:9" s="1599" customFormat="1" ht="19.5" customHeight="1">
      <c r="A39" s="3761"/>
      <c r="B39" s="3761"/>
      <c r="C39" s="1595" t="s">
        <v>1961</v>
      </c>
      <c r="D39" s="1596"/>
      <c r="E39" s="1594">
        <v>1</v>
      </c>
      <c r="F39" s="1597" t="s">
        <v>1962</v>
      </c>
      <c r="G39" s="1598"/>
      <c r="H39" s="1590"/>
      <c r="I39" s="1590"/>
    </row>
    <row r="40" spans="1:9" s="1599" customFormat="1" ht="19.5" customHeight="1">
      <c r="A40" s="1600" t="s">
        <v>1963</v>
      </c>
      <c r="B40" s="1600"/>
      <c r="C40" s="1600"/>
      <c r="D40" s="1600"/>
      <c r="E40" s="1600"/>
      <c r="F40" s="1601"/>
      <c r="G40" s="1601"/>
      <c r="H40" s="1590"/>
      <c r="I40" s="1590"/>
    </row>
    <row r="42" spans="1:9" ht="19.5" customHeight="1">
      <c r="A42" s="1602"/>
      <c r="B42" s="1520" t="s">
        <v>1964</v>
      </c>
      <c r="C42" s="1520" t="s">
        <v>1964</v>
      </c>
      <c r="D42" s="1520" t="s">
        <v>1964</v>
      </c>
      <c r="E42" s="1531" t="s">
        <v>1964</v>
      </c>
      <c r="F42" s="1531" t="s">
        <v>1964</v>
      </c>
      <c r="G42" s="1531" t="s">
        <v>1965</v>
      </c>
      <c r="H42" s="1531" t="s">
        <v>1964</v>
      </c>
    </row>
    <row r="43" spans="1:9" ht="19.5" customHeight="1">
      <c r="A43" s="1603"/>
      <c r="B43" s="1531" t="s">
        <v>1544</v>
      </c>
      <c r="C43" s="1531" t="s">
        <v>1544</v>
      </c>
      <c r="D43" s="1531" t="s">
        <v>1544</v>
      </c>
      <c r="E43" s="1531" t="s">
        <v>1544</v>
      </c>
      <c r="F43" s="1520" t="s">
        <v>1545</v>
      </c>
      <c r="G43" s="1520" t="s">
        <v>1547</v>
      </c>
      <c r="H43" s="1520" t="s">
        <v>1966</v>
      </c>
    </row>
    <row r="44" spans="1:9" ht="19.5" customHeight="1">
      <c r="A44" s="1604"/>
      <c r="B44" s="1520">
        <v>1</v>
      </c>
      <c r="C44" s="1520">
        <v>2</v>
      </c>
      <c r="D44" s="1520">
        <v>3</v>
      </c>
      <c r="E44" s="1531">
        <v>4</v>
      </c>
      <c r="F44" s="1592" t="s">
        <v>1967</v>
      </c>
      <c r="G44" s="1592" t="s">
        <v>1967</v>
      </c>
      <c r="H44" s="1592" t="s">
        <v>1967</v>
      </c>
    </row>
    <row r="45" spans="1:9" ht="19.5" customHeight="1">
      <c r="A45" s="1605" t="s">
        <v>1518</v>
      </c>
      <c r="B45" s="1520">
        <v>0.8</v>
      </c>
      <c r="C45" s="1520">
        <v>0.5</v>
      </c>
      <c r="D45" s="1520">
        <v>0.36</v>
      </c>
      <c r="E45" s="1520">
        <v>0.3</v>
      </c>
      <c r="F45" s="1592">
        <v>0.3</v>
      </c>
      <c r="G45" s="1520">
        <v>0.3</v>
      </c>
      <c r="H45" s="1520">
        <v>0.25</v>
      </c>
    </row>
    <row r="46" spans="1:9" ht="19.5" customHeight="1">
      <c r="A46" s="1605" t="s">
        <v>1519</v>
      </c>
      <c r="B46" s="1520">
        <v>0.8</v>
      </c>
      <c r="C46" s="1520">
        <v>0.5</v>
      </c>
      <c r="D46" s="1520">
        <v>0.36</v>
      </c>
      <c r="E46" s="1520">
        <v>0.3</v>
      </c>
      <c r="F46" s="1520">
        <v>0.3</v>
      </c>
      <c r="G46" s="1520">
        <v>0.3</v>
      </c>
      <c r="H46" s="1520">
        <v>0.25</v>
      </c>
    </row>
    <row r="47" spans="1:9" ht="19.5" customHeight="1">
      <c r="A47" s="1605" t="s">
        <v>1520</v>
      </c>
      <c r="B47" s="1520">
        <v>0.7</v>
      </c>
      <c r="C47" s="1520">
        <v>0.4</v>
      </c>
      <c r="D47" s="1520">
        <v>0.28000000000000003</v>
      </c>
      <c r="E47" s="1520">
        <v>0.25</v>
      </c>
      <c r="F47" s="1520">
        <v>0.25</v>
      </c>
      <c r="G47" s="1520">
        <v>0.25</v>
      </c>
      <c r="H47" s="1520">
        <v>0.2</v>
      </c>
    </row>
    <row r="48" spans="1:9" ht="19.5" customHeight="1">
      <c r="A48" s="1605" t="s">
        <v>1521</v>
      </c>
      <c r="B48" s="1520">
        <v>0.7</v>
      </c>
      <c r="C48" s="1520">
        <v>0.4</v>
      </c>
      <c r="D48" s="1520">
        <v>0.28000000000000003</v>
      </c>
      <c r="E48" s="1520">
        <v>0.25</v>
      </c>
      <c r="F48" s="1520">
        <v>0.25</v>
      </c>
      <c r="G48" s="1520">
        <v>0.25</v>
      </c>
      <c r="H48" s="1520">
        <v>0.2</v>
      </c>
    </row>
    <row r="49" spans="1:8" s="1590" customFormat="1" ht="19.5" customHeight="1">
      <c r="A49" s="1605" t="s">
        <v>1522</v>
      </c>
      <c r="B49" s="1520">
        <v>0.7</v>
      </c>
      <c r="C49" s="1520">
        <v>0.4</v>
      </c>
      <c r="D49" s="1520">
        <v>0.28000000000000003</v>
      </c>
      <c r="E49" s="1520">
        <v>0.25</v>
      </c>
      <c r="F49" s="1520">
        <v>0.25</v>
      </c>
      <c r="G49" s="1520">
        <v>0.25</v>
      </c>
      <c r="H49" s="1520">
        <v>0.2</v>
      </c>
    </row>
    <row r="50" spans="1:8" s="1590" customFormat="1" ht="19.5" customHeight="1">
      <c r="A50" s="1605" t="s">
        <v>1523</v>
      </c>
      <c r="B50" s="1520">
        <v>0.7</v>
      </c>
      <c r="C50" s="1520">
        <v>0.4</v>
      </c>
      <c r="D50" s="1520">
        <v>0.28000000000000003</v>
      </c>
      <c r="E50" s="1520">
        <v>0.25</v>
      </c>
      <c r="F50" s="1520">
        <v>0.25</v>
      </c>
      <c r="G50" s="1520">
        <v>0.25</v>
      </c>
      <c r="H50" s="1520">
        <v>0.2</v>
      </c>
    </row>
    <row r="51" spans="1:8" s="1590" customFormat="1" ht="19.5" customHeight="1">
      <c r="A51" s="1605" t="s">
        <v>1524</v>
      </c>
      <c r="B51" s="1520">
        <v>0.7</v>
      </c>
      <c r="C51" s="1520">
        <v>0.4</v>
      </c>
      <c r="D51" s="1520">
        <v>0.28000000000000003</v>
      </c>
      <c r="E51" s="1520">
        <v>0.25</v>
      </c>
      <c r="F51" s="1520">
        <v>0.25</v>
      </c>
      <c r="G51" s="1520">
        <v>0.25</v>
      </c>
      <c r="H51" s="1520">
        <v>0.2</v>
      </c>
    </row>
    <row r="52" spans="1:8" s="1590" customFormat="1" ht="19.5" customHeight="1">
      <c r="A52" s="1605" t="s">
        <v>1525</v>
      </c>
      <c r="B52" s="1520">
        <v>0.6</v>
      </c>
      <c r="C52" s="1520">
        <v>0.3</v>
      </c>
      <c r="D52" s="1520">
        <v>0.2</v>
      </c>
      <c r="E52" s="1520">
        <v>0.2</v>
      </c>
      <c r="F52" s="1520">
        <v>0.2</v>
      </c>
      <c r="G52" s="1520">
        <v>0.2</v>
      </c>
      <c r="H52" s="1520">
        <v>0.15</v>
      </c>
    </row>
    <row r="53" spans="1:8" s="1590" customFormat="1" ht="19.5" customHeight="1">
      <c r="A53" s="1605" t="s">
        <v>1526</v>
      </c>
      <c r="B53" s="1520">
        <v>0.6</v>
      </c>
      <c r="C53" s="1520">
        <v>0.3</v>
      </c>
      <c r="D53" s="1520">
        <v>0.2</v>
      </c>
      <c r="E53" s="1520">
        <v>0.2</v>
      </c>
      <c r="F53" s="1520">
        <v>0.2</v>
      </c>
      <c r="G53" s="1520">
        <v>0.2</v>
      </c>
      <c r="H53" s="1520">
        <v>0.15</v>
      </c>
    </row>
    <row r="54" spans="1:8" s="1590" customFormat="1" ht="19.5" customHeight="1">
      <c r="A54" s="1605" t="s">
        <v>1527</v>
      </c>
      <c r="B54" s="1520">
        <v>0.6</v>
      </c>
      <c r="C54" s="1520">
        <v>0.3</v>
      </c>
      <c r="D54" s="1520">
        <v>0.2</v>
      </c>
      <c r="E54" s="1520">
        <v>0.2</v>
      </c>
      <c r="F54" s="1520">
        <v>0.2</v>
      </c>
      <c r="G54" s="1520">
        <v>0.2</v>
      </c>
      <c r="H54" s="1520">
        <v>0.15</v>
      </c>
    </row>
    <row r="55" spans="1:8" s="1590" customFormat="1" ht="19.5" customHeight="1">
      <c r="A55" s="1605" t="s">
        <v>1528</v>
      </c>
      <c r="B55" s="1520">
        <v>0.6</v>
      </c>
      <c r="C55" s="1520">
        <v>0.3</v>
      </c>
      <c r="D55" s="1520">
        <v>0.2</v>
      </c>
      <c r="E55" s="1520">
        <v>0.2</v>
      </c>
      <c r="F55" s="1520">
        <v>0.2</v>
      </c>
      <c r="G55" s="1520">
        <v>0.2</v>
      </c>
      <c r="H55" s="1520">
        <v>0.15</v>
      </c>
    </row>
    <row r="56" spans="1:8" s="1590" customFormat="1" ht="19.5" customHeight="1">
      <c r="A56" s="1605" t="s">
        <v>1529</v>
      </c>
      <c r="B56" s="1520">
        <v>0.6</v>
      </c>
      <c r="C56" s="1520">
        <v>0.3</v>
      </c>
      <c r="D56" s="1520">
        <v>0.2</v>
      </c>
      <c r="E56" s="1520">
        <v>0.2</v>
      </c>
      <c r="F56" s="1520">
        <v>0.2</v>
      </c>
      <c r="G56" s="1520">
        <v>0.2</v>
      </c>
      <c r="H56" s="1520">
        <v>0.15</v>
      </c>
    </row>
    <row r="58" spans="1:8" s="1590" customFormat="1" ht="19.5" customHeight="1">
      <c r="A58" s="1606"/>
      <c r="B58" s="1588"/>
      <c r="C58" s="1588"/>
      <c r="D58" s="1588" t="s">
        <v>1968</v>
      </c>
      <c r="E58" s="1588"/>
      <c r="F58" s="1588"/>
    </row>
    <row r="59" spans="1:8" s="1590" customFormat="1" ht="19.5" customHeight="1">
      <c r="A59" s="1594" t="s">
        <v>1969</v>
      </c>
      <c r="B59" s="1594" t="s">
        <v>1970</v>
      </c>
      <c r="C59" s="1594" t="s">
        <v>1971</v>
      </c>
      <c r="D59" s="1594" t="s">
        <v>1972</v>
      </c>
      <c r="E59" s="1594" t="s">
        <v>1973</v>
      </c>
      <c r="F59" s="1594" t="s">
        <v>1974</v>
      </c>
    </row>
    <row r="60" spans="1:8" ht="13.5">
      <c r="A60" s="1790"/>
      <c r="B60" s="1790"/>
      <c r="C60" s="1790" t="s">
        <v>2106</v>
      </c>
      <c r="D60" s="1790"/>
      <c r="E60" s="1607" t="s">
        <v>23</v>
      </c>
      <c r="F60" s="1790" t="s">
        <v>23</v>
      </c>
    </row>
    <row r="61" spans="1:8" s="1590" customFormat="1" ht="24">
      <c r="A61" s="1594">
        <v>1</v>
      </c>
      <c r="B61" s="3761" t="s">
        <v>1975</v>
      </c>
      <c r="C61" s="1520" t="s">
        <v>1976</v>
      </c>
      <c r="D61" s="1520" t="s">
        <v>1977</v>
      </c>
      <c r="E61" s="1607">
        <v>0.5</v>
      </c>
      <c r="F61" s="1594">
        <v>80</v>
      </c>
    </row>
    <row r="62" spans="1:8" s="1590" customFormat="1" ht="24">
      <c r="A62" s="1594">
        <v>2</v>
      </c>
      <c r="B62" s="3761"/>
      <c r="C62" s="1520" t="s">
        <v>1978</v>
      </c>
      <c r="D62" s="1520" t="s">
        <v>1979</v>
      </c>
      <c r="E62" s="1607">
        <v>0.5</v>
      </c>
      <c r="F62" s="1594">
        <v>80</v>
      </c>
    </row>
    <row r="63" spans="1:8" s="1590" customFormat="1" ht="36">
      <c r="A63" s="1594">
        <v>3</v>
      </c>
      <c r="B63" s="3761"/>
      <c r="C63" s="1520" t="s">
        <v>1980</v>
      </c>
      <c r="D63" s="1520" t="s">
        <v>1981</v>
      </c>
      <c r="E63" s="1607">
        <v>0.5</v>
      </c>
      <c r="F63" s="1594">
        <v>80</v>
      </c>
    </row>
    <row r="64" spans="1:8" s="1590" customFormat="1" ht="36">
      <c r="A64" s="1594">
        <v>4</v>
      </c>
      <c r="B64" s="3761"/>
      <c r="C64" s="1520" t="s">
        <v>1982</v>
      </c>
      <c r="D64" s="1520" t="s">
        <v>1983</v>
      </c>
      <c r="E64" s="1607">
        <v>0.4</v>
      </c>
      <c r="F64" s="1594">
        <v>60</v>
      </c>
    </row>
    <row r="65" spans="1:6" s="1590" customFormat="1" ht="36">
      <c r="A65" s="1594">
        <v>5</v>
      </c>
      <c r="B65" s="3761"/>
      <c r="C65" s="1520" t="s">
        <v>1984</v>
      </c>
      <c r="D65" s="1520" t="s">
        <v>1985</v>
      </c>
      <c r="E65" s="1607">
        <v>0.2</v>
      </c>
      <c r="F65" s="1594">
        <v>30</v>
      </c>
    </row>
    <row r="66" spans="1:6" s="1590" customFormat="1" ht="36">
      <c r="A66" s="1594">
        <v>6</v>
      </c>
      <c r="B66" s="3761"/>
      <c r="C66" s="1520" t="s">
        <v>1986</v>
      </c>
      <c r="D66" s="1520" t="s">
        <v>1987</v>
      </c>
      <c r="E66" s="1607">
        <v>0.3</v>
      </c>
      <c r="F66" s="1594">
        <v>50</v>
      </c>
    </row>
    <row r="67" spans="1:6" s="1590" customFormat="1" ht="36">
      <c r="A67" s="1594">
        <v>7</v>
      </c>
      <c r="B67" s="3761"/>
      <c r="C67" s="1520" t="s">
        <v>1988</v>
      </c>
      <c r="D67" s="1520" t="s">
        <v>1989</v>
      </c>
      <c r="E67" s="1607">
        <v>0.2</v>
      </c>
      <c r="F67" s="1594">
        <v>30</v>
      </c>
    </row>
    <row r="68" spans="1:6" s="1590" customFormat="1" ht="36">
      <c r="A68" s="1594">
        <v>8</v>
      </c>
      <c r="B68" s="3761"/>
      <c r="C68" s="1520" t="s">
        <v>1990</v>
      </c>
      <c r="D68" s="1520" t="s">
        <v>1991</v>
      </c>
      <c r="E68" s="1607">
        <v>0.2</v>
      </c>
      <c r="F68" s="1594">
        <v>30</v>
      </c>
    </row>
    <row r="69" spans="1:6" s="1590" customFormat="1" ht="36">
      <c r="A69" s="1594">
        <v>9</v>
      </c>
      <c r="B69" s="3761"/>
      <c r="C69" s="1520" t="s">
        <v>1992</v>
      </c>
      <c r="D69" s="1520" t="s">
        <v>1993</v>
      </c>
      <c r="E69" s="1607">
        <v>0.2</v>
      </c>
      <c r="F69" s="1594">
        <v>30</v>
      </c>
    </row>
    <row r="70" spans="1:6" s="1590" customFormat="1" ht="48">
      <c r="A70" s="1594">
        <v>10</v>
      </c>
      <c r="B70" s="3761"/>
      <c r="C70" s="1520" t="s">
        <v>1994</v>
      </c>
      <c r="D70" s="1520" t="s">
        <v>1995</v>
      </c>
      <c r="E70" s="1607">
        <v>0.2</v>
      </c>
      <c r="F70" s="1594">
        <v>30</v>
      </c>
    </row>
    <row r="71" spans="1:6" s="1590" customFormat="1" ht="48">
      <c r="A71" s="1594">
        <v>11</v>
      </c>
      <c r="B71" s="3761"/>
      <c r="C71" s="1520" t="s">
        <v>1996</v>
      </c>
      <c r="D71" s="1520" t="s">
        <v>1997</v>
      </c>
      <c r="E71" s="1607">
        <v>0.2</v>
      </c>
      <c r="F71" s="1594">
        <v>30</v>
      </c>
    </row>
    <row r="72" spans="1:6" s="1590" customFormat="1" ht="36">
      <c r="A72" s="1594">
        <v>12</v>
      </c>
      <c r="B72" s="3761"/>
      <c r="C72" s="1520" t="s">
        <v>1998</v>
      </c>
      <c r="D72" s="1520" t="s">
        <v>1999</v>
      </c>
      <c r="E72" s="1607">
        <v>0.5</v>
      </c>
      <c r="F72" s="1594">
        <v>80</v>
      </c>
    </row>
    <row r="73" spans="1:6" s="1590" customFormat="1" ht="24">
      <c r="A73" s="1594">
        <v>13</v>
      </c>
      <c r="B73" s="3761"/>
      <c r="C73" s="1520" t="s">
        <v>2000</v>
      </c>
      <c r="D73" s="1520" t="s">
        <v>2001</v>
      </c>
      <c r="E73" s="1607">
        <v>0.4</v>
      </c>
      <c r="F73" s="1594">
        <v>60</v>
      </c>
    </row>
    <row r="74" spans="1:6" s="1590" customFormat="1" ht="24">
      <c r="A74" s="1594">
        <v>14</v>
      </c>
      <c r="B74" s="3761"/>
      <c r="C74" s="1520" t="s">
        <v>2002</v>
      </c>
      <c r="D74" s="1520" t="s">
        <v>2003</v>
      </c>
      <c r="E74" s="1607">
        <v>0.2</v>
      </c>
      <c r="F74" s="1594">
        <v>30</v>
      </c>
    </row>
    <row r="75" spans="1:6" s="1590" customFormat="1" ht="24">
      <c r="A75" s="1594">
        <v>15</v>
      </c>
      <c r="B75" s="3761"/>
      <c r="C75" s="1520" t="s">
        <v>2004</v>
      </c>
      <c r="D75" s="1520" t="s">
        <v>2005</v>
      </c>
      <c r="E75" s="1607">
        <v>0.2</v>
      </c>
      <c r="F75" s="1594">
        <v>30</v>
      </c>
    </row>
    <row r="76" spans="1:6" s="1590" customFormat="1" ht="24">
      <c r="A76" s="1594">
        <v>16</v>
      </c>
      <c r="B76" s="3761" t="s">
        <v>2006</v>
      </c>
      <c r="C76" s="1520" t="s">
        <v>2007</v>
      </c>
      <c r="D76" s="1520" t="s">
        <v>2008</v>
      </c>
      <c r="E76" s="1607">
        <v>0.5</v>
      </c>
      <c r="F76" s="1594">
        <v>80</v>
      </c>
    </row>
    <row r="77" spans="1:6" s="1590" customFormat="1" ht="24">
      <c r="A77" s="1594">
        <v>17</v>
      </c>
      <c r="B77" s="3761"/>
      <c r="C77" s="1520" t="s">
        <v>2009</v>
      </c>
      <c r="D77" s="1520" t="s">
        <v>2010</v>
      </c>
      <c r="E77" s="1607">
        <v>0.5</v>
      </c>
      <c r="F77" s="1594">
        <v>80</v>
      </c>
    </row>
    <row r="78" spans="1:6" s="1590" customFormat="1" ht="24">
      <c r="A78" s="1594">
        <v>18</v>
      </c>
      <c r="B78" s="3761"/>
      <c r="C78" s="1520" t="s">
        <v>2011</v>
      </c>
      <c r="D78" s="1520" t="s">
        <v>2012</v>
      </c>
      <c r="E78" s="1607">
        <v>0.2</v>
      </c>
      <c r="F78" s="1594">
        <v>30</v>
      </c>
    </row>
    <row r="79" spans="1:6" s="1590" customFormat="1" ht="24">
      <c r="A79" s="1594">
        <v>19</v>
      </c>
      <c r="B79" s="3761"/>
      <c r="C79" s="1520" t="s">
        <v>2013</v>
      </c>
      <c r="D79" s="1520" t="s">
        <v>2014</v>
      </c>
      <c r="E79" s="1607">
        <v>0.5</v>
      </c>
      <c r="F79" s="1594">
        <v>80</v>
      </c>
    </row>
    <row r="80" spans="1:6" s="1590" customFormat="1" ht="36">
      <c r="A80" s="1594">
        <v>20</v>
      </c>
      <c r="B80" s="3761"/>
      <c r="C80" s="1520" t="s">
        <v>2015</v>
      </c>
      <c r="D80" s="1520" t="s">
        <v>2016</v>
      </c>
      <c r="E80" s="1607">
        <v>0.2</v>
      </c>
      <c r="F80" s="1594">
        <v>30</v>
      </c>
    </row>
    <row r="81" spans="1:6" s="1590" customFormat="1" ht="36">
      <c r="A81" s="1594">
        <v>21</v>
      </c>
      <c r="B81" s="3761"/>
      <c r="C81" s="1520" t="s">
        <v>2017</v>
      </c>
      <c r="D81" s="1520" t="s">
        <v>2018</v>
      </c>
      <c r="E81" s="1607">
        <v>0.2</v>
      </c>
      <c r="F81" s="1594">
        <v>30</v>
      </c>
    </row>
    <row r="82" spans="1:6" s="1590" customFormat="1" ht="48">
      <c r="A82" s="1594">
        <v>22</v>
      </c>
      <c r="B82" s="3761"/>
      <c r="C82" s="1520" t="s">
        <v>2019</v>
      </c>
      <c r="D82" s="1520" t="s">
        <v>2020</v>
      </c>
      <c r="E82" s="1607">
        <v>0.2</v>
      </c>
      <c r="F82" s="1594">
        <v>30</v>
      </c>
    </row>
    <row r="83" spans="1:6" s="1590" customFormat="1" ht="48">
      <c r="A83" s="1594">
        <v>23</v>
      </c>
      <c r="B83" s="3761"/>
      <c r="C83" s="1520" t="s">
        <v>2021</v>
      </c>
      <c r="D83" s="1520" t="s">
        <v>2022</v>
      </c>
      <c r="E83" s="1607">
        <v>0.2</v>
      </c>
      <c r="F83" s="1594">
        <v>30</v>
      </c>
    </row>
    <row r="84" spans="1:6" s="1590" customFormat="1" ht="36">
      <c r="A84" s="1594">
        <v>24</v>
      </c>
      <c r="B84" s="3761"/>
      <c r="C84" s="1520" t="s">
        <v>2023</v>
      </c>
      <c r="D84" s="1520" t="s">
        <v>2024</v>
      </c>
      <c r="E84" s="1607">
        <v>0.2</v>
      </c>
      <c r="F84" s="1594">
        <v>30</v>
      </c>
    </row>
    <row r="85" spans="1:6" s="1590" customFormat="1" ht="36">
      <c r="A85" s="1594">
        <v>25</v>
      </c>
      <c r="B85" s="3761"/>
      <c r="C85" s="1520" t="s">
        <v>2025</v>
      </c>
      <c r="D85" s="1520" t="s">
        <v>2026</v>
      </c>
      <c r="E85" s="1607">
        <v>0.5</v>
      </c>
      <c r="F85" s="1594">
        <v>80</v>
      </c>
    </row>
    <row r="86" spans="1:6" s="1590" customFormat="1" ht="36">
      <c r="A86" s="1594">
        <v>26</v>
      </c>
      <c r="B86" s="3761"/>
      <c r="C86" s="1520" t="s">
        <v>2027</v>
      </c>
      <c r="D86" s="1520" t="s">
        <v>2028</v>
      </c>
      <c r="E86" s="1607">
        <v>0.2</v>
      </c>
      <c r="F86" s="1594">
        <v>30</v>
      </c>
    </row>
    <row r="87" spans="1:6" s="1590" customFormat="1" ht="36">
      <c r="A87" s="1594">
        <v>27</v>
      </c>
      <c r="B87" s="3761"/>
      <c r="C87" s="1520" t="s">
        <v>2029</v>
      </c>
      <c r="D87" s="1520" t="s">
        <v>2030</v>
      </c>
      <c r="E87" s="1607">
        <v>0.2</v>
      </c>
      <c r="F87" s="1594">
        <v>30</v>
      </c>
    </row>
    <row r="88" spans="1:6" s="1590" customFormat="1" ht="36">
      <c r="A88" s="1594">
        <v>28</v>
      </c>
      <c r="B88" s="3761"/>
      <c r="C88" s="1520" t="s">
        <v>2031</v>
      </c>
      <c r="D88" s="1520" t="s">
        <v>2032</v>
      </c>
      <c r="E88" s="1607">
        <v>0.2</v>
      </c>
      <c r="F88" s="1594">
        <v>30</v>
      </c>
    </row>
    <row r="89" spans="1:6" s="1590" customFormat="1" ht="24">
      <c r="A89" s="1594">
        <v>29</v>
      </c>
      <c r="B89" s="3761"/>
      <c r="C89" s="1520" t="s">
        <v>2033</v>
      </c>
      <c r="D89" s="1520" t="s">
        <v>2034</v>
      </c>
      <c r="E89" s="1607">
        <v>0.2</v>
      </c>
      <c r="F89" s="1594">
        <v>30</v>
      </c>
    </row>
    <row r="90" spans="1:6" s="1590" customFormat="1" ht="24">
      <c r="A90" s="1594">
        <v>30</v>
      </c>
      <c r="B90" s="3761"/>
      <c r="C90" s="1520" t="s">
        <v>2035</v>
      </c>
      <c r="D90" s="1520" t="s">
        <v>2036</v>
      </c>
      <c r="E90" s="1607">
        <v>0.2</v>
      </c>
      <c r="F90" s="1594">
        <v>30</v>
      </c>
    </row>
    <row r="91" spans="1:6" s="1590" customFormat="1" ht="36">
      <c r="A91" s="1594">
        <v>31</v>
      </c>
      <c r="B91" s="3761"/>
      <c r="C91" s="1520" t="s">
        <v>2037</v>
      </c>
      <c r="D91" s="1520" t="s">
        <v>2038</v>
      </c>
      <c r="E91" s="1607">
        <v>0.2</v>
      </c>
      <c r="F91" s="1594">
        <v>30</v>
      </c>
    </row>
    <row r="92" spans="1:6" s="1590" customFormat="1" ht="24">
      <c r="A92" s="1594">
        <v>32</v>
      </c>
      <c r="B92" s="3761" t="s">
        <v>2039</v>
      </c>
      <c r="C92" s="1594" t="s">
        <v>2040</v>
      </c>
      <c r="D92" s="1520" t="s">
        <v>2041</v>
      </c>
      <c r="E92" s="1607">
        <v>0.2</v>
      </c>
      <c r="F92" s="1594">
        <v>30</v>
      </c>
    </row>
    <row r="93" spans="1:6" s="1590" customFormat="1" ht="36">
      <c r="A93" s="1594">
        <v>33</v>
      </c>
      <c r="B93" s="3761"/>
      <c r="C93" s="1594" t="s">
        <v>2042</v>
      </c>
      <c r="D93" s="1520" t="s">
        <v>2043</v>
      </c>
      <c r="E93" s="1607">
        <v>0.2</v>
      </c>
      <c r="F93" s="1594">
        <v>30</v>
      </c>
    </row>
    <row r="94" spans="1:6" s="1590" customFormat="1" ht="48">
      <c r="A94" s="1594">
        <v>34</v>
      </c>
      <c r="B94" s="3761"/>
      <c r="C94" s="1594" t="s">
        <v>2044</v>
      </c>
      <c r="D94" s="1520" t="s">
        <v>2045</v>
      </c>
      <c r="E94" s="1607">
        <v>0.2</v>
      </c>
      <c r="F94" s="1594">
        <v>30</v>
      </c>
    </row>
    <row r="95" spans="1:6" s="1590" customFormat="1" ht="36">
      <c r="A95" s="1594">
        <v>35</v>
      </c>
      <c r="B95" s="3761"/>
      <c r="C95" s="1594" t="s">
        <v>2046</v>
      </c>
      <c r="D95" s="1520" t="s">
        <v>2047</v>
      </c>
      <c r="E95" s="1607">
        <v>0.2</v>
      </c>
      <c r="F95" s="1594">
        <v>30</v>
      </c>
    </row>
    <row r="96" spans="1:6" s="1590" customFormat="1" ht="48">
      <c r="A96" s="1594">
        <v>36</v>
      </c>
      <c r="B96" s="3761"/>
      <c r="C96" s="1520" t="s">
        <v>2048</v>
      </c>
      <c r="D96" s="1520" t="s">
        <v>2049</v>
      </c>
      <c r="E96" s="1607">
        <v>0.2</v>
      </c>
      <c r="F96" s="1594">
        <v>30</v>
      </c>
    </row>
    <row r="97" spans="1:6" s="1590" customFormat="1" ht="36">
      <c r="A97" s="1594">
        <v>37</v>
      </c>
      <c r="B97" s="3761"/>
      <c r="C97" s="1594" t="s">
        <v>2050</v>
      </c>
      <c r="D97" s="1520" t="s">
        <v>2051</v>
      </c>
      <c r="E97" s="1607">
        <v>0.2</v>
      </c>
      <c r="F97" s="1594">
        <v>30</v>
      </c>
    </row>
    <row r="98" spans="1:6" s="1590" customFormat="1" ht="36">
      <c r="A98" s="1594">
        <v>38</v>
      </c>
      <c r="B98" s="3761"/>
      <c r="C98" s="1594" t="s">
        <v>2052</v>
      </c>
      <c r="D98" s="1520" t="s">
        <v>2053</v>
      </c>
      <c r="E98" s="1607">
        <v>0.2</v>
      </c>
      <c r="F98" s="1594">
        <v>30</v>
      </c>
    </row>
    <row r="99" spans="1:6" s="1590" customFormat="1" ht="36">
      <c r="A99" s="1594">
        <v>39</v>
      </c>
      <c r="B99" s="3761" t="s">
        <v>2054</v>
      </c>
      <c r="C99" s="1594" t="s">
        <v>2055</v>
      </c>
      <c r="D99" s="1520" t="s">
        <v>2056</v>
      </c>
      <c r="E99" s="1607">
        <v>0.3</v>
      </c>
      <c r="F99" s="1594">
        <v>50</v>
      </c>
    </row>
    <row r="100" spans="1:6" s="1590" customFormat="1" ht="24">
      <c r="A100" s="1594">
        <v>40</v>
      </c>
      <c r="B100" s="3761"/>
      <c r="C100" s="1594" t="s">
        <v>2057</v>
      </c>
      <c r="D100" s="1520" t="s">
        <v>2058</v>
      </c>
      <c r="E100" s="1607">
        <v>0.2</v>
      </c>
      <c r="F100" s="1594">
        <v>30</v>
      </c>
    </row>
    <row r="101" spans="1:6" s="1590" customFormat="1" ht="36">
      <c r="A101" s="1594">
        <v>41</v>
      </c>
      <c r="B101" s="3761"/>
      <c r="C101" s="1594" t="s">
        <v>2059</v>
      </c>
      <c r="D101" s="1520" t="s">
        <v>2056</v>
      </c>
      <c r="E101" s="1607">
        <v>0.2</v>
      </c>
      <c r="F101" s="1594">
        <v>30</v>
      </c>
    </row>
    <row r="102" spans="1:6" s="1590" customFormat="1" ht="48">
      <c r="A102" s="1594">
        <v>42</v>
      </c>
      <c r="B102" s="1594" t="s">
        <v>2060</v>
      </c>
      <c r="C102" s="1520" t="s">
        <v>2061</v>
      </c>
      <c r="D102" s="1520" t="s">
        <v>2062</v>
      </c>
      <c r="E102" s="1607">
        <v>0.2</v>
      </c>
      <c r="F102" s="1594">
        <v>30</v>
      </c>
    </row>
    <row r="103" spans="1:6" s="1590" customFormat="1" ht="24">
      <c r="A103" s="1594">
        <v>43</v>
      </c>
      <c r="B103" s="1594" t="s">
        <v>2063</v>
      </c>
      <c r="C103" s="1594" t="s">
        <v>2064</v>
      </c>
      <c r="D103" s="1520" t="s">
        <v>2065</v>
      </c>
      <c r="E103" s="1607">
        <v>0.2</v>
      </c>
      <c r="F103" s="1594">
        <v>30</v>
      </c>
    </row>
    <row r="104" spans="1:6" s="1590" customFormat="1" ht="36">
      <c r="A104" s="1594">
        <v>44</v>
      </c>
      <c r="B104" s="1594" t="s">
        <v>2066</v>
      </c>
      <c r="C104" s="1594" t="s">
        <v>2067</v>
      </c>
      <c r="D104" s="1520" t="s">
        <v>2068</v>
      </c>
      <c r="E104" s="1607">
        <v>0.2</v>
      </c>
      <c r="F104" s="1594">
        <v>30</v>
      </c>
    </row>
    <row r="105" spans="1:6" s="1590" customFormat="1" ht="36">
      <c r="A105" s="1594">
        <v>45</v>
      </c>
      <c r="B105" s="3761" t="s">
        <v>2069</v>
      </c>
      <c r="C105" s="1594" t="s">
        <v>2070</v>
      </c>
      <c r="D105" s="1520" t="s">
        <v>2071</v>
      </c>
      <c r="E105" s="1607">
        <v>0.2</v>
      </c>
      <c r="F105" s="1594">
        <v>30</v>
      </c>
    </row>
    <row r="106" spans="1:6" s="1590" customFormat="1" ht="36">
      <c r="A106" s="1594">
        <v>46</v>
      </c>
      <c r="B106" s="3761"/>
      <c r="C106" s="1594" t="s">
        <v>2072</v>
      </c>
      <c r="D106" s="1520" t="s">
        <v>2073</v>
      </c>
      <c r="E106" s="1607">
        <v>0.2</v>
      </c>
      <c r="F106" s="1594">
        <v>30</v>
      </c>
    </row>
    <row r="107" spans="1:6" s="1590" customFormat="1" ht="36">
      <c r="A107" s="1594">
        <v>47</v>
      </c>
      <c r="B107" s="3761" t="s">
        <v>2074</v>
      </c>
      <c r="C107" s="1594" t="s">
        <v>2075</v>
      </c>
      <c r="D107" s="1520" t="s">
        <v>2076</v>
      </c>
      <c r="E107" s="1607">
        <v>0.3</v>
      </c>
      <c r="F107" s="1594">
        <v>50</v>
      </c>
    </row>
    <row r="108" spans="1:6" s="1590" customFormat="1" ht="36">
      <c r="A108" s="1594">
        <v>48</v>
      </c>
      <c r="B108" s="3761"/>
      <c r="C108" s="1594" t="s">
        <v>2077</v>
      </c>
      <c r="D108" s="1520" t="s">
        <v>2078</v>
      </c>
      <c r="E108" s="1607">
        <v>0.2</v>
      </c>
      <c r="F108" s="1594">
        <v>30</v>
      </c>
    </row>
    <row r="109" spans="1:6" s="1590" customFormat="1" ht="36">
      <c r="A109" s="1594">
        <v>49</v>
      </c>
      <c r="B109" s="1594" t="s">
        <v>2079</v>
      </c>
      <c r="C109" s="1594" t="s">
        <v>2080</v>
      </c>
      <c r="D109" s="1520" t="s">
        <v>2081</v>
      </c>
      <c r="E109" s="1607">
        <v>0.2</v>
      </c>
      <c r="F109" s="1594">
        <v>30</v>
      </c>
    </row>
    <row r="110" spans="1:6" s="1590" customFormat="1" ht="36">
      <c r="A110" s="1594">
        <v>50</v>
      </c>
      <c r="B110" s="1594" t="s">
        <v>2082</v>
      </c>
      <c r="C110" s="1594" t="s">
        <v>2083</v>
      </c>
      <c r="D110" s="1520" t="s">
        <v>2084</v>
      </c>
      <c r="E110" s="1607">
        <v>0.2</v>
      </c>
      <c r="F110" s="1594">
        <v>30</v>
      </c>
    </row>
    <row r="111" spans="1:6" s="1590" customFormat="1" ht="36">
      <c r="A111" s="1594">
        <v>51</v>
      </c>
      <c r="B111" s="3761" t="s">
        <v>2085</v>
      </c>
      <c r="C111" s="1594" t="s">
        <v>2086</v>
      </c>
      <c r="D111" s="1520" t="s">
        <v>2087</v>
      </c>
      <c r="E111" s="1607">
        <v>0.2</v>
      </c>
      <c r="F111" s="1594">
        <v>30</v>
      </c>
    </row>
    <row r="112" spans="1:6" s="1590" customFormat="1" ht="24">
      <c r="A112" s="1594">
        <v>52</v>
      </c>
      <c r="B112" s="3761"/>
      <c r="C112" s="1594" t="s">
        <v>2088</v>
      </c>
      <c r="D112" s="1520" t="s">
        <v>2089</v>
      </c>
      <c r="E112" s="1607">
        <v>0.2</v>
      </c>
      <c r="F112" s="1594">
        <v>30</v>
      </c>
    </row>
    <row r="113" spans="1:6" s="1590" customFormat="1" ht="24">
      <c r="A113" s="1594">
        <v>53</v>
      </c>
      <c r="B113" s="3761"/>
      <c r="C113" s="1594" t="s">
        <v>2090</v>
      </c>
      <c r="D113" s="1520" t="s">
        <v>2091</v>
      </c>
      <c r="E113" s="1607">
        <v>0.2</v>
      </c>
      <c r="F113" s="1594">
        <v>30</v>
      </c>
    </row>
    <row r="114" spans="1:6" ht="36">
      <c r="A114" s="1594">
        <v>54</v>
      </c>
      <c r="B114" s="1594" t="s">
        <v>2092</v>
      </c>
      <c r="C114" s="1594" t="s">
        <v>2093</v>
      </c>
      <c r="D114" s="1520" t="s">
        <v>2094</v>
      </c>
      <c r="E114" s="1607">
        <v>0.2</v>
      </c>
      <c r="F114" s="1594">
        <v>30</v>
      </c>
    </row>
    <row r="115" spans="1:6" ht="24">
      <c r="A115" s="1594">
        <v>55</v>
      </c>
      <c r="B115" s="1594" t="s">
        <v>2095</v>
      </c>
      <c r="C115" s="1594" t="s">
        <v>2096</v>
      </c>
      <c r="D115" s="1520" t="s">
        <v>2097</v>
      </c>
      <c r="E115" s="1607">
        <v>0.2</v>
      </c>
      <c r="F115" s="1594">
        <v>30</v>
      </c>
    </row>
    <row r="116" spans="1:6" ht="24">
      <c r="A116" s="1594">
        <v>56</v>
      </c>
      <c r="B116" s="3761" t="s">
        <v>2098</v>
      </c>
      <c r="C116" s="1594" t="s">
        <v>2099</v>
      </c>
      <c r="D116" s="1520" t="s">
        <v>2100</v>
      </c>
      <c r="E116" s="1607">
        <v>0.2</v>
      </c>
      <c r="F116" s="1594">
        <v>30</v>
      </c>
    </row>
    <row r="117" spans="1:6" ht="36">
      <c r="A117" s="1594">
        <v>57</v>
      </c>
      <c r="B117" s="3761"/>
      <c r="C117" s="1594" t="s">
        <v>2101</v>
      </c>
      <c r="D117" s="1520" t="s">
        <v>2102</v>
      </c>
      <c r="E117" s="1607">
        <v>0.2</v>
      </c>
      <c r="F117" s="1594">
        <v>30</v>
      </c>
    </row>
    <row r="118" spans="1:6" ht="36">
      <c r="A118" s="1594">
        <v>58</v>
      </c>
      <c r="B118" s="1594" t="s">
        <v>2103</v>
      </c>
      <c r="C118" s="1594" t="s">
        <v>2104</v>
      </c>
      <c r="D118" s="1520" t="s">
        <v>2105</v>
      </c>
      <c r="E118" s="1607">
        <v>0.2</v>
      </c>
      <c r="F118" s="1594">
        <v>30</v>
      </c>
    </row>
    <row r="119" spans="1:6" ht="13.5">
      <c r="A119" s="1594"/>
      <c r="B119" s="1594"/>
      <c r="C119" s="1594" t="s">
        <v>2106</v>
      </c>
      <c r="D119" s="1594"/>
      <c r="E119" s="1607" t="s">
        <v>1916</v>
      </c>
      <c r="F119" s="1594" t="s">
        <v>1916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4"/>
    <col min="2" max="16384" width="9" style="1619"/>
  </cols>
  <sheetData>
    <row r="1" spans="1:14" ht="14.25">
      <c r="A1" s="1617" t="s">
        <v>2116</v>
      </c>
      <c r="B1" s="1618"/>
      <c r="C1" s="1618"/>
      <c r="D1" s="1618"/>
      <c r="E1" s="1618"/>
      <c r="F1" s="1618"/>
      <c r="G1" s="1618"/>
      <c r="H1" s="1618"/>
      <c r="I1" s="1618"/>
      <c r="J1" s="1618"/>
      <c r="K1" s="1618"/>
      <c r="L1" s="1618"/>
      <c r="M1" s="1618"/>
      <c r="N1" s="1618"/>
    </row>
    <row r="2" spans="1:14">
      <c r="A2" s="1620" t="s">
        <v>2113</v>
      </c>
      <c r="B2" s="1621" t="s">
        <v>1518</v>
      </c>
      <c r="C2" s="1621" t="s">
        <v>1519</v>
      </c>
      <c r="D2" s="1621" t="s">
        <v>1520</v>
      </c>
      <c r="E2" s="1621" t="s">
        <v>1521</v>
      </c>
      <c r="F2" s="1621" t="s">
        <v>1522</v>
      </c>
      <c r="G2" s="1621" t="s">
        <v>1523</v>
      </c>
      <c r="H2" s="1622" t="s">
        <v>1524</v>
      </c>
      <c r="I2" s="1622" t="s">
        <v>1525</v>
      </c>
      <c r="J2" s="1623" t="s">
        <v>1526</v>
      </c>
      <c r="K2" s="1623" t="s">
        <v>1527</v>
      </c>
      <c r="L2" s="1623" t="s">
        <v>1528</v>
      </c>
      <c r="M2" s="1623" t="s">
        <v>1529</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2122</v>
      </c>
      <c r="B103" s="1618"/>
      <c r="C103" s="1618"/>
      <c r="D103" s="1618"/>
      <c r="E103" s="1618"/>
      <c r="F103" s="1618"/>
      <c r="G103" s="1618"/>
      <c r="H103" s="1618"/>
      <c r="I103" s="1618"/>
      <c r="J103" s="1618"/>
      <c r="K103" s="1618"/>
      <c r="L103" s="1618"/>
      <c r="M103" s="1618"/>
      <c r="N103" s="1618"/>
    </row>
    <row r="104" spans="1:14" ht="14.25">
      <c r="A104" s="1620" t="s">
        <v>2113</v>
      </c>
      <c r="B104" s="1621" t="s">
        <v>1518</v>
      </c>
      <c r="C104" s="1621" t="s">
        <v>1519</v>
      </c>
      <c r="D104" s="1621" t="s">
        <v>1520</v>
      </c>
      <c r="E104" s="1621" t="s">
        <v>1521</v>
      </c>
      <c r="F104" s="1621" t="s">
        <v>1522</v>
      </c>
      <c r="G104" s="1621" t="s">
        <v>1523</v>
      </c>
      <c r="H104" s="1622" t="s">
        <v>1524</v>
      </c>
      <c r="I104" s="1622" t="s">
        <v>1525</v>
      </c>
      <c r="J104" s="1623" t="s">
        <v>1526</v>
      </c>
      <c r="K104" s="1623" t="s">
        <v>1527</v>
      </c>
      <c r="L104" s="1623" t="s">
        <v>1528</v>
      </c>
      <c r="M104" s="1623" t="s">
        <v>1529</v>
      </c>
      <c r="N104" s="1618">
        <f>SUMPRODUCT((A105:A204=ROUNDDOWN(基准地价修正!G3,1))*(B104:M104=基准地价修正!G2)*(B105:M204))</f>
        <v>0.70879999999999999</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2123</v>
      </c>
      <c r="B205" s="1618"/>
      <c r="C205" s="1618"/>
      <c r="D205" s="1618"/>
      <c r="E205" s="1618"/>
      <c r="F205" s="1618"/>
      <c r="G205" s="1618"/>
      <c r="H205" s="1618"/>
      <c r="I205" s="1618"/>
      <c r="J205" s="1618"/>
      <c r="K205" s="1618"/>
      <c r="L205" s="1618"/>
      <c r="M205" s="1618"/>
    </row>
    <row r="206" spans="1:13">
      <c r="A206" s="1620" t="s">
        <v>2113</v>
      </c>
      <c r="B206" s="1621" t="s">
        <v>1518</v>
      </c>
      <c r="C206" s="1621" t="s">
        <v>1519</v>
      </c>
      <c r="D206" s="1621" t="s">
        <v>1520</v>
      </c>
      <c r="E206" s="1621" t="s">
        <v>1521</v>
      </c>
      <c r="F206" s="1621" t="s">
        <v>1522</v>
      </c>
      <c r="G206" s="1621" t="s">
        <v>1523</v>
      </c>
      <c r="H206" s="1622" t="s">
        <v>1524</v>
      </c>
      <c r="I206" s="1622" t="s">
        <v>1525</v>
      </c>
      <c r="J206" s="1623" t="s">
        <v>1526</v>
      </c>
      <c r="K206" s="1623" t="s">
        <v>1527</v>
      </c>
      <c r="L206" s="1623" t="s">
        <v>1528</v>
      </c>
      <c r="M206" s="1623" t="s">
        <v>1529</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2124</v>
      </c>
      <c r="B307" s="1618"/>
      <c r="C307" s="1618"/>
      <c r="D307" s="1618"/>
      <c r="E307" s="1618"/>
      <c r="F307" s="1618"/>
      <c r="G307" s="1618"/>
      <c r="H307" s="1618"/>
      <c r="I307" s="1618"/>
      <c r="J307" s="1618"/>
      <c r="K307" s="1618"/>
      <c r="L307" s="1618"/>
      <c r="M307" s="1618"/>
    </row>
    <row r="308" spans="1:13">
      <c r="A308" s="1620" t="s">
        <v>2113</v>
      </c>
      <c r="B308" s="1621" t="s">
        <v>1518</v>
      </c>
      <c r="C308" s="1621" t="s">
        <v>1519</v>
      </c>
      <c r="D308" s="1621" t="s">
        <v>1520</v>
      </c>
      <c r="E308" s="1621" t="s">
        <v>1521</v>
      </c>
      <c r="F308" s="1621" t="s">
        <v>1522</v>
      </c>
      <c r="G308" s="1621" t="s">
        <v>1523</v>
      </c>
      <c r="H308" s="1622" t="s">
        <v>1524</v>
      </c>
      <c r="I308" s="1622" t="s">
        <v>1525</v>
      </c>
      <c r="J308" s="1623" t="s">
        <v>1526</v>
      </c>
      <c r="K308" s="1623" t="s">
        <v>1527</v>
      </c>
      <c r="L308" s="1623" t="s">
        <v>1528</v>
      </c>
      <c r="M308" s="1623" t="s">
        <v>1529</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781" t="s">
        <v>3117</v>
      </c>
      <c r="C1" s="3781"/>
      <c r="D1" s="3781"/>
      <c r="E1" s="3781"/>
      <c r="F1" s="3781"/>
      <c r="G1" s="3777" t="s">
        <v>3118</v>
      </c>
      <c r="H1" s="3777"/>
      <c r="I1" s="3777"/>
      <c r="J1" s="3777"/>
      <c r="K1" s="3777"/>
      <c r="L1" s="3777"/>
      <c r="N1" s="3777" t="s">
        <v>3119</v>
      </c>
      <c r="O1" s="3777"/>
      <c r="P1" s="3777"/>
      <c r="Q1" s="3777"/>
      <c r="R1" s="2940"/>
      <c r="S1" s="3777" t="s">
        <v>3120</v>
      </c>
      <c r="T1" s="3777"/>
      <c r="U1" s="3777"/>
      <c r="V1" s="3777"/>
      <c r="X1" s="3776" t="s">
        <v>3121</v>
      </c>
      <c r="Y1" s="3777"/>
      <c r="Z1" s="3777"/>
      <c r="AA1" s="3777"/>
      <c r="AB1" s="3777"/>
      <c r="AD1" s="3776" t="s">
        <v>3122</v>
      </c>
      <c r="AE1" s="3777"/>
      <c r="AF1" s="3777"/>
      <c r="AG1" s="3777"/>
      <c r="AH1" s="3777"/>
    </row>
    <row r="2" spans="1:34" s="2941" customFormat="1" ht="14.25" thickBot="1">
      <c r="B2" s="2942" t="s">
        <v>3123</v>
      </c>
      <c r="C2" s="2942" t="s">
        <v>3124</v>
      </c>
      <c r="D2" s="2943" t="s">
        <v>3125</v>
      </c>
      <c r="E2" s="2943" t="s">
        <v>3126</v>
      </c>
      <c r="F2" s="2942" t="s">
        <v>3127</v>
      </c>
      <c r="G2" s="2944"/>
      <c r="H2" s="2945"/>
      <c r="I2" s="2945"/>
      <c r="J2" s="2945"/>
      <c r="K2" s="2945"/>
      <c r="L2" s="2945"/>
      <c r="N2" s="2944"/>
      <c r="O2" s="2945"/>
      <c r="P2" s="2945"/>
      <c r="Q2" s="2945"/>
      <c r="R2" s="2946"/>
      <c r="S2" s="2944"/>
      <c r="T2" s="2945"/>
      <c r="U2" s="2945"/>
      <c r="V2" s="2945"/>
      <c r="X2" s="2942" t="s">
        <v>3123</v>
      </c>
      <c r="Y2" s="2942" t="s">
        <v>3124</v>
      </c>
      <c r="Z2" s="2943" t="s">
        <v>3125</v>
      </c>
      <c r="AA2" s="2943" t="s">
        <v>3126</v>
      </c>
      <c r="AB2" s="2942" t="s">
        <v>3127</v>
      </c>
      <c r="AD2" s="2942" t="s">
        <v>3123</v>
      </c>
      <c r="AE2" s="2942" t="s">
        <v>3124</v>
      </c>
      <c r="AF2" s="2943" t="s">
        <v>3125</v>
      </c>
      <c r="AG2" s="2943" t="s">
        <v>3126</v>
      </c>
      <c r="AH2" s="2942" t="s">
        <v>3127</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3128</v>
      </c>
      <c r="B4" s="2956"/>
      <c r="C4" s="2956"/>
      <c r="D4" s="2956"/>
      <c r="E4" s="2956"/>
      <c r="F4" s="2956"/>
      <c r="G4" s="3782">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3129</v>
      </c>
      <c r="B5" s="2956"/>
      <c r="C5" s="2956"/>
      <c r="D5" s="2956"/>
      <c r="E5" s="2956"/>
      <c r="F5" s="2956"/>
      <c r="G5" s="3779"/>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3130</v>
      </c>
      <c r="B6" s="2962">
        <f>B7*(1+N6)</f>
        <v>415.21602360000003</v>
      </c>
      <c r="C6" s="2962">
        <f>C7*(1+O6)</f>
        <v>312.63083488000001</v>
      </c>
      <c r="D6" s="2962">
        <f>C6</f>
        <v>312.63083488000001</v>
      </c>
      <c r="E6" s="3274">
        <f>E7*(1+P6)</f>
        <v>589.96402416000001</v>
      </c>
      <c r="F6" s="3274">
        <f>F7*(1+Q6)</f>
        <v>273.82351752000005</v>
      </c>
      <c r="G6" s="3779"/>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3132</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3131</v>
      </c>
      <c r="B7" s="2976">
        <f>B8*(1+N7)</f>
        <v>405.524</v>
      </c>
      <c r="C7" s="2976">
        <f>C8*(1+O7)</f>
        <v>307.79840000000002</v>
      </c>
      <c r="D7" s="2976">
        <f>C7</f>
        <v>307.79840000000002</v>
      </c>
      <c r="E7" s="2976">
        <f>E8*(1+P7)</f>
        <v>574.67759999999998</v>
      </c>
      <c r="F7" s="2976">
        <f>F8*(1+Q7)</f>
        <v>270.20280000000002</v>
      </c>
      <c r="G7" s="3780"/>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1507</v>
      </c>
      <c r="B8" s="2968">
        <v>392</v>
      </c>
      <c r="C8" s="2968">
        <v>302</v>
      </c>
      <c r="D8" s="2968">
        <f>C8</f>
        <v>302</v>
      </c>
      <c r="E8" s="2968">
        <v>553</v>
      </c>
      <c r="F8" s="2969">
        <v>266</v>
      </c>
      <c r="G8" s="3782">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1506</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779"/>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1496</v>
      </c>
      <c r="B10" s="2976">
        <f t="shared" si="8"/>
        <v>360.06949782209392</v>
      </c>
      <c r="C10" s="2976">
        <f t="shared" si="8"/>
        <v>289.84672674747821</v>
      </c>
      <c r="D10" s="2976">
        <f t="shared" si="9"/>
        <v>289.84672674747821</v>
      </c>
      <c r="E10" s="2976">
        <f t="shared" si="10"/>
        <v>501.06543001181495</v>
      </c>
      <c r="F10" s="2976">
        <f t="shared" si="10"/>
        <v>256.82882500744967</v>
      </c>
      <c r="G10" s="3779"/>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1505</v>
      </c>
      <c r="B11" s="2976">
        <f t="shared" si="8"/>
        <v>346.720748986128</v>
      </c>
      <c r="C11" s="2976">
        <f t="shared" si="8"/>
        <v>284.30282172386285</v>
      </c>
      <c r="D11" s="2976">
        <f t="shared" si="9"/>
        <v>284.30282172386285</v>
      </c>
      <c r="E11" s="2976">
        <f t="shared" si="10"/>
        <v>479.58023546306947</v>
      </c>
      <c r="F11" s="2976">
        <f t="shared" si="10"/>
        <v>253.25788877571213</v>
      </c>
      <c r="G11" s="3780"/>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1504</v>
      </c>
      <c r="B12" s="2968">
        <v>333</v>
      </c>
      <c r="C12" s="2968">
        <v>277</v>
      </c>
      <c r="D12" s="2968">
        <f t="shared" si="9"/>
        <v>277</v>
      </c>
      <c r="E12" s="2968">
        <v>459</v>
      </c>
      <c r="F12" s="2969">
        <v>249</v>
      </c>
      <c r="G12" s="3778">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1503</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779"/>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1502</v>
      </c>
      <c r="B14" s="2976">
        <f t="shared" si="12"/>
        <v>322.34053690220776</v>
      </c>
      <c r="C14" s="2976">
        <f t="shared" si="12"/>
        <v>271.46160770422546</v>
      </c>
      <c r="D14" s="2976">
        <f t="shared" si="9"/>
        <v>271.46160770422546</v>
      </c>
      <c r="E14" s="2976">
        <f t="shared" si="13"/>
        <v>442.69434542172456</v>
      </c>
      <c r="F14" s="2976">
        <f t="shared" si="13"/>
        <v>241.34030753190925</v>
      </c>
      <c r="G14" s="3779"/>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1501</v>
      </c>
      <c r="B15" s="2976">
        <f t="shared" si="12"/>
        <v>319.87748030386797</v>
      </c>
      <c r="C15" s="2976">
        <f t="shared" si="12"/>
        <v>269.60135833173649</v>
      </c>
      <c r="D15" s="2976">
        <f t="shared" si="9"/>
        <v>269.60135833173649</v>
      </c>
      <c r="E15" s="2976">
        <f t="shared" si="13"/>
        <v>439.18089823583784</v>
      </c>
      <c r="F15" s="2976">
        <f t="shared" si="13"/>
        <v>239.23503918706311</v>
      </c>
      <c r="G15" s="3780"/>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1500</v>
      </c>
      <c r="B16" s="2989">
        <v>318</v>
      </c>
      <c r="C16" s="2989">
        <v>268</v>
      </c>
      <c r="D16" s="2989">
        <f t="shared" si="9"/>
        <v>268</v>
      </c>
      <c r="E16" s="2989">
        <v>437</v>
      </c>
      <c r="F16" s="2990">
        <v>237</v>
      </c>
      <c r="G16" s="3778">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1499</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779"/>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1498</v>
      </c>
      <c r="B18" s="2976">
        <f t="shared" si="14"/>
        <v>314.72141172386546</v>
      </c>
      <c r="C18" s="2976">
        <f t="shared" si="14"/>
        <v>263.03901319069001</v>
      </c>
      <c r="D18" s="2976">
        <f t="shared" si="9"/>
        <v>263.03901319069001</v>
      </c>
      <c r="E18" s="2976">
        <f t="shared" si="15"/>
        <v>433.65745506782821</v>
      </c>
      <c r="F18" s="2976">
        <f t="shared" si="15"/>
        <v>233.23005080045735</v>
      </c>
      <c r="G18" s="3779"/>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1497</v>
      </c>
      <c r="B19" s="2994">
        <f t="shared" si="14"/>
        <v>307.34512863658733</v>
      </c>
      <c r="C19" s="2994">
        <f t="shared" si="14"/>
        <v>257.80556031626975</v>
      </c>
      <c r="D19" s="2994">
        <f t="shared" si="9"/>
        <v>257.80556031626975</v>
      </c>
      <c r="E19" s="2994">
        <f t="shared" si="15"/>
        <v>422.70928459677179</v>
      </c>
      <c r="F19" s="2994">
        <f t="shared" si="15"/>
        <v>229.73803270336617</v>
      </c>
      <c r="G19" s="3780"/>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3133</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3134</v>
      </c>
      <c r="B20" s="2968">
        <v>299</v>
      </c>
      <c r="C20" s="2968">
        <v>252</v>
      </c>
      <c r="D20" s="2968">
        <f t="shared" si="9"/>
        <v>252</v>
      </c>
      <c r="E20" s="2968">
        <v>409</v>
      </c>
      <c r="F20" s="2969">
        <v>227</v>
      </c>
      <c r="G20" s="3783">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3135</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784"/>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3136</v>
      </c>
      <c r="B22" s="2976">
        <f t="shared" si="18"/>
        <v>288.2649053828776</v>
      </c>
      <c r="C22" s="2976">
        <f t="shared" si="18"/>
        <v>243.64564425013293</v>
      </c>
      <c r="D22" s="2976">
        <f t="shared" si="9"/>
        <v>243.64564425013293</v>
      </c>
      <c r="E22" s="2976">
        <f t="shared" si="19"/>
        <v>393.31080825986544</v>
      </c>
      <c r="F22" s="2976">
        <f t="shared" si="19"/>
        <v>223.07903790551154</v>
      </c>
      <c r="G22" s="3784"/>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3137</v>
      </c>
      <c r="B23" s="2976">
        <f t="shared" si="18"/>
        <v>282.50186729015837</v>
      </c>
      <c r="C23" s="2976">
        <f t="shared" si="18"/>
        <v>238.09796174155468</v>
      </c>
      <c r="D23" s="2976">
        <f t="shared" si="9"/>
        <v>238.09796174155468</v>
      </c>
      <c r="E23" s="2976">
        <f t="shared" si="19"/>
        <v>385.33438646014054</v>
      </c>
      <c r="F23" s="2976">
        <f t="shared" si="19"/>
        <v>221.55034055567739</v>
      </c>
      <c r="G23" s="3785"/>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3138</v>
      </c>
      <c r="B24" s="3010">
        <v>278</v>
      </c>
      <c r="C24" s="3010">
        <v>234</v>
      </c>
      <c r="D24" s="3010">
        <f t="shared" si="9"/>
        <v>234</v>
      </c>
      <c r="E24" s="3010">
        <v>379</v>
      </c>
      <c r="F24" s="3011">
        <v>220</v>
      </c>
      <c r="G24" s="3778">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3139</v>
      </c>
      <c r="B25" s="2976">
        <f>B24/(1+N24)</f>
        <v>275.49301357645425</v>
      </c>
      <c r="C25" s="2976">
        <f>C24/(1+O24)</f>
        <v>232.41954707985698</v>
      </c>
      <c r="D25" s="2976">
        <f t="shared" si="9"/>
        <v>232.41954707985698</v>
      </c>
      <c r="E25" s="2976">
        <f t="shared" ref="E25:F27" si="20">E24/(1+P24)</f>
        <v>375.32184591008121</v>
      </c>
      <c r="F25" s="2976">
        <f t="shared" si="20"/>
        <v>218.03766105054513</v>
      </c>
      <c r="G25" s="3779"/>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3140</v>
      </c>
      <c r="B26" s="2976">
        <f>B25/(1+N25)</f>
        <v>275.24529281292263</v>
      </c>
      <c r="C26" s="2976">
        <f>C25/(1+O25)</f>
        <v>231.74747938962707</v>
      </c>
      <c r="D26" s="2976">
        <f t="shared" si="9"/>
        <v>231.74747938962707</v>
      </c>
      <c r="E26" s="2976">
        <f t="shared" si="20"/>
        <v>375.35938184826603</v>
      </c>
      <c r="F26" s="2976">
        <f t="shared" si="20"/>
        <v>216.78033510692495</v>
      </c>
      <c r="G26" s="3779"/>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3141</v>
      </c>
      <c r="B27" s="2976">
        <f>B26/(1+N26)</f>
        <v>275.19025476197027</v>
      </c>
      <c r="C27" s="3012">
        <v>232</v>
      </c>
      <c r="D27" s="3012">
        <f t="shared" si="9"/>
        <v>232</v>
      </c>
      <c r="E27" s="2976">
        <f t="shared" si="20"/>
        <v>375.65990977608692</v>
      </c>
      <c r="F27" s="2976">
        <f t="shared" si="20"/>
        <v>214.12518283971252</v>
      </c>
      <c r="G27" s="3780"/>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3142</v>
      </c>
      <c r="B28" s="2968">
        <v>275</v>
      </c>
      <c r="C28" s="2968">
        <v>232</v>
      </c>
      <c r="D28" s="2968">
        <f t="shared" si="9"/>
        <v>232</v>
      </c>
      <c r="E28" s="2968">
        <v>376</v>
      </c>
      <c r="F28" s="2969">
        <v>213</v>
      </c>
      <c r="G28" s="3778">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3143</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779">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3144</v>
      </c>
      <c r="B30" s="2976">
        <f t="shared" si="21"/>
        <v>275.19335084830601</v>
      </c>
      <c r="C30" s="2976">
        <f t="shared" si="21"/>
        <v>230.18088050139744</v>
      </c>
      <c r="D30" s="2976">
        <f t="shared" si="9"/>
        <v>230.18088050139744</v>
      </c>
      <c r="E30" s="2976">
        <f t="shared" si="22"/>
        <v>377.58482925212331</v>
      </c>
      <c r="F30" s="2976">
        <f t="shared" si="22"/>
        <v>210.90687997847917</v>
      </c>
      <c r="G30" s="3779">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3145</v>
      </c>
      <c r="B31" s="2976">
        <f t="shared" si="21"/>
        <v>276.29854502841971</v>
      </c>
      <c r="C31" s="2976">
        <f t="shared" si="21"/>
        <v>229.79023709833027</v>
      </c>
      <c r="D31" s="2976">
        <f t="shared" si="9"/>
        <v>229.79023709833027</v>
      </c>
      <c r="E31" s="2976">
        <f t="shared" si="22"/>
        <v>379.78759731655936</v>
      </c>
      <c r="F31" s="2976">
        <f t="shared" si="22"/>
        <v>211.32953905659235</v>
      </c>
      <c r="G31" s="3780">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3146</v>
      </c>
      <c r="B32" s="2968">
        <v>269</v>
      </c>
      <c r="C32" s="2968">
        <v>221</v>
      </c>
      <c r="D32" s="2968">
        <f t="shared" si="9"/>
        <v>221</v>
      </c>
      <c r="E32" s="2968">
        <v>373</v>
      </c>
      <c r="F32" s="2969">
        <v>196</v>
      </c>
      <c r="G32" s="3778">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3147</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779">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3148</v>
      </c>
      <c r="B34" s="2976">
        <f t="shared" si="23"/>
        <v>242.95398227588385</v>
      </c>
      <c r="C34" s="2976">
        <f t="shared" si="23"/>
        <v>199.59137053614126</v>
      </c>
      <c r="D34" s="2976">
        <f t="shared" si="9"/>
        <v>199.59137053614126</v>
      </c>
      <c r="E34" s="2976">
        <f t="shared" si="24"/>
        <v>335.92189522342125</v>
      </c>
      <c r="F34" s="2976">
        <f t="shared" si="24"/>
        <v>183.10139991109489</v>
      </c>
      <c r="G34" s="3779">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3149</v>
      </c>
      <c r="B35" s="2976">
        <f t="shared" si="23"/>
        <v>232.06990378821649</v>
      </c>
      <c r="C35" s="2976">
        <f t="shared" si="23"/>
        <v>192.74878854286936</v>
      </c>
      <c r="D35" s="2976">
        <f t="shared" si="9"/>
        <v>192.74878854286936</v>
      </c>
      <c r="E35" s="2976">
        <f t="shared" si="24"/>
        <v>319.71247284992984</v>
      </c>
      <c r="F35" s="2976">
        <f t="shared" si="24"/>
        <v>175.67053622862409</v>
      </c>
      <c r="G35" s="3780">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3150</v>
      </c>
      <c r="B36" s="2968">
        <v>220</v>
      </c>
      <c r="C36" s="2968">
        <v>187</v>
      </c>
      <c r="D36" s="2968">
        <f t="shared" si="9"/>
        <v>187</v>
      </c>
      <c r="E36" s="2968">
        <v>301</v>
      </c>
      <c r="F36" s="2969">
        <v>168</v>
      </c>
      <c r="G36" s="3778">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3151</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779">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3152</v>
      </c>
      <c r="B38" s="2976">
        <f t="shared" si="25"/>
        <v>210.630522469011</v>
      </c>
      <c r="C38" s="2976">
        <f t="shared" si="25"/>
        <v>181.69567812247232</v>
      </c>
      <c r="D38" s="2976">
        <f t="shared" si="9"/>
        <v>181.69567812247232</v>
      </c>
      <c r="E38" s="2976">
        <f t="shared" si="26"/>
        <v>286.13517466736738</v>
      </c>
      <c r="F38" s="2976">
        <f t="shared" si="26"/>
        <v>165.47535084591149</v>
      </c>
      <c r="G38" s="3779">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3153</v>
      </c>
      <c r="B39" s="2976">
        <f t="shared" si="25"/>
        <v>208.83454537875372</v>
      </c>
      <c r="C39" s="2976">
        <f t="shared" si="25"/>
        <v>183.77230517090351</v>
      </c>
      <c r="D39" s="2976">
        <f t="shared" si="9"/>
        <v>183.77230517090351</v>
      </c>
      <c r="E39" s="2976">
        <f t="shared" si="26"/>
        <v>281.10342338870947</v>
      </c>
      <c r="F39" s="2976">
        <f t="shared" si="26"/>
        <v>168.97309388942256</v>
      </c>
      <c r="G39" s="3780">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3154</v>
      </c>
      <c r="B40" s="3010">
        <v>214</v>
      </c>
      <c r="C40" s="3010">
        <v>188</v>
      </c>
      <c r="D40" s="3010">
        <f t="shared" si="9"/>
        <v>188</v>
      </c>
      <c r="E40" s="3010">
        <v>289</v>
      </c>
      <c r="F40" s="3011">
        <v>166</v>
      </c>
      <c r="G40" s="3778">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3155</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779">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3156</v>
      </c>
      <c r="B42" s="2976">
        <f t="shared" si="27"/>
        <v>206.31694671589116</v>
      </c>
      <c r="C42" s="2976">
        <f t="shared" si="27"/>
        <v>183.61041121036101</v>
      </c>
      <c r="D42" s="2976">
        <f t="shared" si="9"/>
        <v>183.61041121036101</v>
      </c>
      <c r="E42" s="2976">
        <f t="shared" si="28"/>
        <v>276.66850301795557</v>
      </c>
      <c r="F42" s="2976">
        <f t="shared" si="28"/>
        <v>165.1360938278614</v>
      </c>
      <c r="G42" s="3779">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3157</v>
      </c>
      <c r="B43" s="3013">
        <f t="shared" si="27"/>
        <v>196.62341248059772</v>
      </c>
      <c r="C43" s="3013">
        <f t="shared" si="27"/>
        <v>170.99125648199012</v>
      </c>
      <c r="D43" s="3013">
        <f t="shared" si="9"/>
        <v>170.99125648199012</v>
      </c>
      <c r="E43" s="3013">
        <f t="shared" si="28"/>
        <v>266.07857570490052</v>
      </c>
      <c r="F43" s="3013">
        <f t="shared" si="28"/>
        <v>154.53499328828505</v>
      </c>
      <c r="G43" s="3780">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3158</v>
      </c>
      <c r="B44" s="2968">
        <v>188</v>
      </c>
      <c r="C44" s="2968">
        <v>165</v>
      </c>
      <c r="D44" s="2968">
        <f t="shared" si="9"/>
        <v>165</v>
      </c>
      <c r="E44" s="2968">
        <v>254</v>
      </c>
      <c r="F44" s="2969">
        <v>148</v>
      </c>
      <c r="G44" s="3778">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3159</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779">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3160</v>
      </c>
      <c r="B46" s="2976">
        <f t="shared" si="31"/>
        <v>168.82017748715555</v>
      </c>
      <c r="C46" s="2976">
        <f t="shared" si="31"/>
        <v>148.06267029972753</v>
      </c>
      <c r="D46" s="2976">
        <f t="shared" si="9"/>
        <v>148.06267029972753</v>
      </c>
      <c r="E46" s="2976">
        <f t="shared" si="32"/>
        <v>216.46288379323747</v>
      </c>
      <c r="F46" s="2976">
        <f t="shared" si="32"/>
        <v>134.23529411764704</v>
      </c>
      <c r="G46" s="3779">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3161</v>
      </c>
      <c r="B47" s="2976">
        <f t="shared" si="31"/>
        <v>163.84913591779542</v>
      </c>
      <c r="C47" s="2976">
        <f t="shared" si="31"/>
        <v>145.0283378746594</v>
      </c>
      <c r="D47" s="2976">
        <f t="shared" si="9"/>
        <v>145.0283378746594</v>
      </c>
      <c r="E47" s="2976">
        <f t="shared" si="32"/>
        <v>204.95180722891567</v>
      </c>
      <c r="F47" s="2976">
        <f t="shared" si="32"/>
        <v>125.95920303605313</v>
      </c>
      <c r="G47" s="3780">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3162</v>
      </c>
      <c r="B48" s="2989">
        <v>159</v>
      </c>
      <c r="C48" s="2989">
        <v>141</v>
      </c>
      <c r="D48" s="2989">
        <f t="shared" si="9"/>
        <v>141</v>
      </c>
      <c r="E48" s="2989">
        <v>195</v>
      </c>
      <c r="F48" s="2990">
        <v>122</v>
      </c>
      <c r="G48" s="3778">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3163</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779">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3164</v>
      </c>
      <c r="B50" s="2976">
        <f t="shared" si="35"/>
        <v>146.57412060301507</v>
      </c>
      <c r="C50" s="2976">
        <f t="shared" si="35"/>
        <v>136.46831955922866</v>
      </c>
      <c r="D50" s="2976">
        <f t="shared" si="9"/>
        <v>136.46831955922866</v>
      </c>
      <c r="E50" s="2976">
        <f t="shared" si="36"/>
        <v>166.73864894795128</v>
      </c>
      <c r="F50" s="2976">
        <f t="shared" si="36"/>
        <v>115.05882352941177</v>
      </c>
      <c r="G50" s="3779">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3165</v>
      </c>
      <c r="B51" s="2976">
        <f t="shared" si="35"/>
        <v>144.04145728643215</v>
      </c>
      <c r="C51" s="2976">
        <f t="shared" si="35"/>
        <v>136.12396694214877</v>
      </c>
      <c r="D51" s="2976">
        <f t="shared" si="9"/>
        <v>136.12396694214877</v>
      </c>
      <c r="E51" s="2976">
        <f t="shared" si="36"/>
        <v>158.32225913621264</v>
      </c>
      <c r="F51" s="2976">
        <f t="shared" si="36"/>
        <v>114.04278074866311</v>
      </c>
      <c r="G51" s="3780">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3166</v>
      </c>
      <c r="B52" s="2989">
        <v>138</v>
      </c>
      <c r="C52" s="2989">
        <v>131</v>
      </c>
      <c r="D52" s="2989">
        <f t="shared" si="9"/>
        <v>131</v>
      </c>
      <c r="E52" s="2989">
        <v>155</v>
      </c>
      <c r="F52" s="2990">
        <v>114</v>
      </c>
      <c r="G52" s="3778">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3167</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779">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3168</v>
      </c>
      <c r="B54" s="2976">
        <f t="shared" si="39"/>
        <v>124.29032258064517</v>
      </c>
      <c r="C54" s="2976">
        <f t="shared" si="39"/>
        <v>123.8968609865471</v>
      </c>
      <c r="D54" s="2976">
        <f t="shared" si="9"/>
        <v>123.8968609865471</v>
      </c>
      <c r="E54" s="2976">
        <f t="shared" si="40"/>
        <v>138.00507614213197</v>
      </c>
      <c r="F54" s="2976">
        <f t="shared" si="40"/>
        <v>107.96106557377048</v>
      </c>
      <c r="G54" s="3779">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3169</v>
      </c>
      <c r="B55" s="2976">
        <f t="shared" si="39"/>
        <v>122.57204301075269</v>
      </c>
      <c r="C55" s="2976">
        <f t="shared" si="39"/>
        <v>123.4932735426009</v>
      </c>
      <c r="D55" s="2976">
        <f t="shared" si="9"/>
        <v>123.4932735426009</v>
      </c>
      <c r="E55" s="2976">
        <f t="shared" si="40"/>
        <v>129.82233502538071</v>
      </c>
      <c r="F55" s="2976">
        <f t="shared" si="40"/>
        <v>107.39446721311475</v>
      </c>
      <c r="G55" s="3780">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3170</v>
      </c>
      <c r="B56" s="3010">
        <v>121</v>
      </c>
      <c r="C56" s="3010">
        <v>122</v>
      </c>
      <c r="D56" s="3010">
        <f t="shared" si="9"/>
        <v>122</v>
      </c>
      <c r="E56" s="3010">
        <v>124</v>
      </c>
      <c r="F56" s="3011">
        <v>107</v>
      </c>
      <c r="G56" s="3778">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3171</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779">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3172</v>
      </c>
      <c r="B58" s="2976">
        <f t="shared" si="43"/>
        <v>116.99099099099099</v>
      </c>
      <c r="C58" s="2976">
        <f t="shared" si="43"/>
        <v>118.84848484848486</v>
      </c>
      <c r="D58" s="2976">
        <f t="shared" si="9"/>
        <v>118.84848484848486</v>
      </c>
      <c r="E58" s="2976">
        <f t="shared" si="44"/>
        <v>117.60960960960961</v>
      </c>
      <c r="F58" s="2976">
        <f t="shared" si="44"/>
        <v>104</v>
      </c>
      <c r="G58" s="3779">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3173</v>
      </c>
      <c r="B59" s="3013">
        <f t="shared" si="43"/>
        <v>112.48648648648648</v>
      </c>
      <c r="C59" s="3013">
        <f t="shared" si="43"/>
        <v>115.21212121212122</v>
      </c>
      <c r="D59" s="3013">
        <f t="shared" si="9"/>
        <v>115.21212121212122</v>
      </c>
      <c r="E59" s="3013">
        <f t="shared" si="44"/>
        <v>110.4024024024024</v>
      </c>
      <c r="F59" s="3013">
        <f t="shared" si="44"/>
        <v>104</v>
      </c>
      <c r="G59" s="3780">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3174</v>
      </c>
      <c r="B60" s="3031">
        <v>111</v>
      </c>
      <c r="C60" s="3031">
        <v>114</v>
      </c>
      <c r="D60" s="3031">
        <f t="shared" si="9"/>
        <v>114</v>
      </c>
      <c r="E60" s="3031">
        <v>108</v>
      </c>
      <c r="F60" s="3032">
        <v>104</v>
      </c>
      <c r="G60" s="3778">
        <v>2003</v>
      </c>
      <c r="H60" s="3021">
        <v>4</v>
      </c>
      <c r="I60" s="3033"/>
      <c r="J60" s="3033"/>
      <c r="K60" s="3033"/>
      <c r="L60" s="3033"/>
      <c r="N60" s="3034"/>
      <c r="O60" s="3033"/>
      <c r="P60" s="3033"/>
      <c r="Q60" s="3033"/>
      <c r="S60" s="3034"/>
      <c r="T60" s="3033"/>
      <c r="U60" s="3033"/>
      <c r="V60" s="3033"/>
      <c r="X60" s="3025"/>
      <c r="Y60" s="3025"/>
      <c r="Z60" s="3025"/>
    </row>
    <row r="61" spans="1:26">
      <c r="A61" s="2955" t="s">
        <v>3175</v>
      </c>
      <c r="B61" s="3035">
        <f t="shared" ref="B61:C63" si="45">B62+(B$60-B$64)/4</f>
        <v>109.75</v>
      </c>
      <c r="C61" s="3035">
        <f t="shared" si="45"/>
        <v>112.25</v>
      </c>
      <c r="D61" s="3035">
        <f t="shared" si="9"/>
        <v>112.25</v>
      </c>
      <c r="E61" s="3035">
        <f t="shared" ref="E61:F63" si="46">E62+(E$60-E$64)/4</f>
        <v>107.25</v>
      </c>
      <c r="F61" s="3035">
        <f t="shared" si="46"/>
        <v>103.5</v>
      </c>
      <c r="G61" s="3779">
        <v>2003</v>
      </c>
      <c r="H61" s="2986">
        <v>3</v>
      </c>
      <c r="I61" s="3033"/>
      <c r="J61" s="3033"/>
      <c r="K61" s="3033"/>
      <c r="L61" s="3033"/>
      <c r="X61" s="3025"/>
      <c r="Y61" s="3025"/>
      <c r="Z61" s="3025"/>
    </row>
    <row r="62" spans="1:26">
      <c r="A62" s="2955" t="s">
        <v>3176</v>
      </c>
      <c r="B62" s="3035">
        <f t="shared" si="45"/>
        <v>108.5</v>
      </c>
      <c r="C62" s="3035">
        <f t="shared" si="45"/>
        <v>110.5</v>
      </c>
      <c r="D62" s="3035">
        <f t="shared" si="9"/>
        <v>110.5</v>
      </c>
      <c r="E62" s="3035">
        <f t="shared" si="46"/>
        <v>106.5</v>
      </c>
      <c r="F62" s="3035">
        <f t="shared" si="46"/>
        <v>103</v>
      </c>
      <c r="G62" s="3779">
        <v>2003</v>
      </c>
      <c r="H62" s="2961">
        <v>2</v>
      </c>
      <c r="I62" s="3033"/>
      <c r="J62" s="3033"/>
      <c r="K62" s="3033"/>
      <c r="L62" s="3033"/>
      <c r="X62" s="3025"/>
      <c r="Y62" s="3025"/>
      <c r="Z62" s="3025"/>
    </row>
    <row r="63" spans="1:26" ht="13.5" thickBot="1">
      <c r="A63" s="2955" t="s">
        <v>3177</v>
      </c>
      <c r="B63" s="3035">
        <f t="shared" si="45"/>
        <v>107.25</v>
      </c>
      <c r="C63" s="3035">
        <f t="shared" si="45"/>
        <v>108.75</v>
      </c>
      <c r="D63" s="3035">
        <f t="shared" si="9"/>
        <v>108.75</v>
      </c>
      <c r="E63" s="3035">
        <f t="shared" si="46"/>
        <v>105.75</v>
      </c>
      <c r="F63" s="3035">
        <f t="shared" si="46"/>
        <v>102.5</v>
      </c>
      <c r="G63" s="3780">
        <v>2003</v>
      </c>
      <c r="H63" s="3036">
        <v>1</v>
      </c>
      <c r="I63" s="3033"/>
      <c r="J63" s="3033"/>
      <c r="K63" s="3033"/>
      <c r="L63" s="3033"/>
      <c r="S63" s="2971"/>
      <c r="T63" s="2972"/>
      <c r="U63" s="2972"/>
      <c r="X63" s="3025"/>
      <c r="Y63" s="3025"/>
      <c r="Z63" s="3025"/>
    </row>
    <row r="64" spans="1:26" ht="13.5" thickBot="1">
      <c r="A64" s="2955" t="s">
        <v>3178</v>
      </c>
      <c r="B64" s="3037">
        <v>106</v>
      </c>
      <c r="C64" s="3037">
        <v>107</v>
      </c>
      <c r="D64" s="3037">
        <f t="shared" si="9"/>
        <v>107</v>
      </c>
      <c r="E64" s="3037">
        <v>105</v>
      </c>
      <c r="F64" s="3038">
        <v>102</v>
      </c>
      <c r="G64" s="3778">
        <v>2002</v>
      </c>
      <c r="H64" s="2981">
        <v>4</v>
      </c>
      <c r="I64" s="3033"/>
      <c r="J64" s="3033"/>
      <c r="K64" s="3033"/>
      <c r="L64" s="3033"/>
      <c r="N64" s="3034"/>
      <c r="O64" s="3033"/>
      <c r="P64" s="3033"/>
      <c r="Q64" s="3033"/>
      <c r="S64" s="3034"/>
      <c r="T64" s="3033"/>
      <c r="U64" s="3033"/>
      <c r="V64" s="3033"/>
      <c r="X64" s="3025"/>
      <c r="Y64" s="3025"/>
      <c r="Z64" s="3025"/>
    </row>
    <row r="65" spans="1:26">
      <c r="A65" s="2955" t="s">
        <v>3179</v>
      </c>
      <c r="B65" s="3035">
        <f t="shared" ref="B65:C67" si="47">B66+(B$64-B$68)/4</f>
        <v>105</v>
      </c>
      <c r="C65" s="3035">
        <f t="shared" si="47"/>
        <v>106</v>
      </c>
      <c r="D65" s="3035">
        <f t="shared" si="9"/>
        <v>106</v>
      </c>
      <c r="E65" s="3035">
        <f t="shared" ref="E65:F67" si="48">E66+(E$64-E$68)/4</f>
        <v>104.5</v>
      </c>
      <c r="F65" s="3035">
        <f t="shared" si="48"/>
        <v>101.5</v>
      </c>
      <c r="G65" s="3779">
        <v>2002</v>
      </c>
      <c r="H65" s="2986">
        <v>3</v>
      </c>
      <c r="I65" s="3033"/>
      <c r="J65" s="3033"/>
      <c r="K65" s="3033"/>
      <c r="L65" s="3033"/>
      <c r="X65" s="3025"/>
      <c r="Y65" s="3025"/>
      <c r="Z65" s="3025"/>
    </row>
    <row r="66" spans="1:26">
      <c r="A66" s="2955" t="s">
        <v>3180</v>
      </c>
      <c r="B66" s="3035">
        <f t="shared" si="47"/>
        <v>104</v>
      </c>
      <c r="C66" s="3035">
        <f t="shared" si="47"/>
        <v>105</v>
      </c>
      <c r="D66" s="3035">
        <f t="shared" si="9"/>
        <v>105</v>
      </c>
      <c r="E66" s="3035">
        <f t="shared" si="48"/>
        <v>104</v>
      </c>
      <c r="F66" s="3035">
        <f t="shared" si="48"/>
        <v>101</v>
      </c>
      <c r="G66" s="3779">
        <v>2002</v>
      </c>
      <c r="H66" s="2961">
        <v>2</v>
      </c>
      <c r="I66" s="3033"/>
      <c r="J66" s="3033"/>
      <c r="K66" s="3033"/>
      <c r="L66" s="3033"/>
      <c r="X66" s="3025"/>
      <c r="Y66" s="3025"/>
      <c r="Z66" s="3025"/>
    </row>
    <row r="67" spans="1:26" s="2997" customFormat="1" ht="13.5" thickBot="1">
      <c r="A67" s="2993" t="s">
        <v>3181</v>
      </c>
      <c r="B67" s="3039">
        <f t="shared" si="47"/>
        <v>103</v>
      </c>
      <c r="C67" s="3039">
        <f t="shared" si="47"/>
        <v>104</v>
      </c>
      <c r="D67" s="3039">
        <f t="shared" si="9"/>
        <v>104</v>
      </c>
      <c r="E67" s="3039">
        <f t="shared" si="48"/>
        <v>103.5</v>
      </c>
      <c r="F67" s="3039">
        <f t="shared" si="48"/>
        <v>100.5</v>
      </c>
      <c r="G67" s="3780">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3182</v>
      </c>
      <c r="G70" s="3049"/>
      <c r="N70" s="3049"/>
      <c r="S70" s="3049"/>
    </row>
    <row r="71" spans="1:26" s="3048" customFormat="1">
      <c r="A71" s="3048" t="s">
        <v>3183</v>
      </c>
      <c r="G71" s="3049"/>
      <c r="N71" s="3049"/>
      <c r="S71" s="3049"/>
    </row>
    <row r="72" spans="1:26" s="3048" customFormat="1">
      <c r="A72" s="3048" t="s">
        <v>3184</v>
      </c>
      <c r="G72" s="3049"/>
      <c r="I72" s="3050"/>
      <c r="J72" s="3050"/>
      <c r="K72" s="3050"/>
      <c r="L72" s="3050"/>
      <c r="N72" s="3051"/>
      <c r="O72" s="3050"/>
      <c r="P72" s="3050"/>
      <c r="Q72" s="3050"/>
      <c r="S72" s="3051"/>
      <c r="T72" s="3050"/>
      <c r="U72" s="3050"/>
      <c r="V72" s="3050"/>
    </row>
    <row r="73" spans="1:26" s="3048" customFormat="1">
      <c r="A73" s="3048" t="s">
        <v>3185</v>
      </c>
      <c r="G73" s="3049"/>
      <c r="N73" s="3049"/>
      <c r="S73" s="3049"/>
    </row>
    <row r="80" spans="1:26" ht="13.5" thickBot="1"/>
    <row r="81" spans="14:22" s="2970" customFormat="1">
      <c r="N81" s="2985"/>
      <c r="S81" s="3052" t="s">
        <v>3186</v>
      </c>
      <c r="T81" s="3053" t="s">
        <v>3187</v>
      </c>
      <c r="U81" s="3053" t="s">
        <v>3188</v>
      </c>
      <c r="V81" s="3053" t="s">
        <v>3189</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8" t="s">
        <v>2753</v>
      </c>
      <c r="C1" s="3789" t="s">
        <v>2754</v>
      </c>
      <c r="D1" s="3790"/>
      <c r="E1" s="3790"/>
      <c r="F1" s="3790"/>
      <c r="G1" s="3790"/>
      <c r="H1" s="3790"/>
      <c r="I1" s="3790"/>
      <c r="J1" s="3790"/>
      <c r="K1" s="3790"/>
      <c r="L1" s="3790"/>
      <c r="M1" s="3790"/>
      <c r="N1" s="3790"/>
      <c r="O1" s="3790"/>
      <c r="P1" s="3790"/>
      <c r="Q1" s="3790"/>
      <c r="R1" s="3790"/>
      <c r="S1" s="3791"/>
      <c r="T1" s="2468" t="s">
        <v>2755</v>
      </c>
    </row>
    <row r="2" spans="1:45" s="1121" customFormat="1" ht="25.5">
      <c r="A2" s="2469"/>
      <c r="B2" s="1117" t="s">
        <v>2756</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70"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71"/>
      <c r="B3" s="1122"/>
      <c r="C3" s="1123">
        <v>0</v>
      </c>
      <c r="D3" s="1124">
        <v>50</v>
      </c>
      <c r="E3" s="1124">
        <v>100</v>
      </c>
      <c r="F3" s="3250"/>
      <c r="G3" s="3250"/>
      <c r="H3" s="3250"/>
      <c r="I3" s="3250"/>
      <c r="J3" s="3250"/>
      <c r="K3" s="3250"/>
      <c r="L3" s="3251"/>
      <c r="M3" s="3252"/>
      <c r="N3" s="3252"/>
      <c r="O3" s="3250"/>
      <c r="P3" s="3250"/>
      <c r="Q3" s="3250"/>
      <c r="R3" s="3250"/>
      <c r="S3" s="3253"/>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9"/>
      <c r="B5" s="2480" t="s">
        <v>2757</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9"/>
      <c r="B7" s="2225" t="s">
        <v>2758</v>
      </c>
      <c r="C7" s="2232"/>
      <c r="D7" s="2226"/>
      <c r="E7" s="2226"/>
      <c r="F7" s="3262"/>
      <c r="G7" s="3262"/>
      <c r="H7" s="3262"/>
      <c r="I7" s="3262"/>
      <c r="J7" s="3262"/>
      <c r="K7" s="3262"/>
      <c r="L7" s="3262"/>
      <c r="M7" s="3263"/>
      <c r="N7" s="3264"/>
      <c r="O7" s="3265"/>
      <c r="P7" s="3266"/>
      <c r="Q7" s="3267"/>
      <c r="R7" s="3268"/>
      <c r="S7" s="3269"/>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9"/>
      <c r="B9" s="2225" t="s">
        <v>2759</v>
      </c>
      <c r="C9" s="2232">
        <v>311</v>
      </c>
      <c r="D9" s="2226">
        <v>312</v>
      </c>
      <c r="E9" s="2226">
        <v>313</v>
      </c>
      <c r="F9" s="3262">
        <v>314</v>
      </c>
      <c r="G9" s="3262">
        <v>315</v>
      </c>
      <c r="H9" s="3262"/>
      <c r="I9" s="3262"/>
      <c r="J9" s="3262"/>
      <c r="K9" s="3262"/>
      <c r="L9" s="3270"/>
      <c r="M9" s="3263"/>
      <c r="N9" s="3264"/>
      <c r="O9" s="3265"/>
      <c r="P9" s="3266"/>
      <c r="Q9" s="3267"/>
      <c r="R9" s="3268"/>
      <c r="S9" s="3269"/>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9"/>
      <c r="B11" s="2480" t="s">
        <v>2760</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9"/>
      <c r="B13" s="2480" t="s">
        <v>2761</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9"/>
      <c r="B15" s="2480" t="s">
        <v>2762</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2" t="s">
        <v>2763</v>
      </c>
      <c r="B17" s="2513" t="s">
        <v>2764</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89"/>
      <c r="AS17" s="1489"/>
    </row>
    <row r="18" spans="1:45" s="1121"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745</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746</v>
      </c>
      <c r="B21" s="677">
        <f>R22</f>
        <v>10000</v>
      </c>
      <c r="C21" s="504"/>
      <c r="D21" s="504"/>
      <c r="E21" s="504"/>
      <c r="F21" s="504"/>
      <c r="G21" s="504"/>
      <c r="H21" s="504"/>
      <c r="I21" s="504"/>
      <c r="J21" s="504"/>
      <c r="K21" s="504"/>
      <c r="L21" s="504"/>
      <c r="M21" s="504"/>
      <c r="N21" s="504"/>
      <c r="O21" s="504"/>
      <c r="P21" s="504"/>
      <c r="Q21" s="504"/>
      <c r="R21" s="1420"/>
      <c r="S21" s="473"/>
    </row>
    <row r="22" spans="1:45">
      <c r="A22" s="702" t="s">
        <v>747</v>
      </c>
      <c r="B22" s="319">
        <f>SUM(B24:B524)</f>
        <v>100</v>
      </c>
      <c r="C22" s="3786" t="s">
        <v>333</v>
      </c>
      <c r="D22" s="3787"/>
      <c r="E22" s="3787"/>
      <c r="F22" s="3787"/>
      <c r="G22" s="3787"/>
      <c r="H22" s="3787"/>
      <c r="I22" s="3787"/>
      <c r="J22" s="3787"/>
      <c r="K22" s="3787"/>
      <c r="L22" s="3787"/>
      <c r="M22" s="3787"/>
      <c r="N22" s="3787"/>
      <c r="O22" s="3787"/>
      <c r="P22" s="3787"/>
      <c r="Q22" s="3788"/>
      <c r="R22" s="1130">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1" t="s">
        <v>751</v>
      </c>
      <c r="S23" s="305" t="s">
        <v>752</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1055</v>
      </c>
      <c r="B1" s="577"/>
      <c r="C1" s="578"/>
      <c r="D1" s="578"/>
      <c r="E1" s="578"/>
      <c r="F1" s="578"/>
      <c r="G1" s="579"/>
    </row>
    <row r="2" spans="1:7" s="580" customFormat="1" ht="18" customHeight="1">
      <c r="A2" s="581" t="s">
        <v>1056</v>
      </c>
      <c r="B2" s="582">
        <f ca="1">C52</f>
        <v>77584</v>
      </c>
      <c r="C2" s="85" t="s">
        <v>1105</v>
      </c>
      <c r="D2" s="579"/>
      <c r="E2" s="579"/>
      <c r="F2" s="579"/>
      <c r="G2" s="579"/>
    </row>
    <row r="3" spans="1:7" s="580" customFormat="1" ht="18" customHeight="1" thickBot="1">
      <c r="A3" s="583" t="s">
        <v>1057</v>
      </c>
      <c r="B3" s="584">
        <f ca="1">ROUND(B2*10000/'数据-汇总表'!E3,0)</f>
        <v>5351</v>
      </c>
      <c r="C3" s="85" t="s">
        <v>1106</v>
      </c>
      <c r="D3" s="579"/>
      <c r="E3" s="579"/>
      <c r="F3" s="579"/>
      <c r="G3" s="579"/>
    </row>
    <row r="4" spans="1:7" s="588" customFormat="1" ht="15.75">
      <c r="A4" s="585" t="s">
        <v>1058</v>
      </c>
      <c r="B4" s="586"/>
      <c r="C4" s="586"/>
      <c r="D4" s="586"/>
      <c r="E4" s="586"/>
      <c r="F4" s="586"/>
      <c r="G4" s="587"/>
    </row>
    <row r="5" spans="1:7" s="594" customFormat="1" ht="13.5" customHeight="1">
      <c r="A5" s="635" t="s">
        <v>2907</v>
      </c>
      <c r="B5" s="590" t="s">
        <v>1059</v>
      </c>
      <c r="C5" s="591">
        <f>C6+C7+C8</f>
        <v>20810</v>
      </c>
      <c r="D5" s="591" t="s">
        <v>1060</v>
      </c>
      <c r="E5" s="592" t="s">
        <v>1061</v>
      </c>
      <c r="F5" s="592" t="s">
        <v>1062</v>
      </c>
      <c r="G5" s="593"/>
    </row>
    <row r="6" spans="1:7" s="594" customFormat="1" ht="13.5" customHeight="1">
      <c r="A6" s="1826" t="s">
        <v>2273</v>
      </c>
      <c r="B6" s="595" t="s">
        <v>1063</v>
      </c>
      <c r="C6" s="596">
        <v>20000</v>
      </c>
      <c r="D6" s="597"/>
      <c r="E6" s="598"/>
      <c r="F6" s="598"/>
      <c r="G6" s="599"/>
    </row>
    <row r="7" spans="1:7" s="594" customFormat="1" ht="13.5" customHeight="1">
      <c r="A7" s="1826" t="s">
        <v>2274</v>
      </c>
      <c r="B7" s="595" t="s">
        <v>512</v>
      </c>
      <c r="C7" s="600">
        <f>ROUND(C6*F7,0)</f>
        <v>810</v>
      </c>
      <c r="D7" s="600"/>
      <c r="E7" s="598"/>
      <c r="F7" s="601">
        <f>'数据-取费表'!B48+'数据-取费表'!B49</f>
        <v>4.0500000000000001E-2</v>
      </c>
      <c r="G7" s="599"/>
    </row>
    <row r="8" spans="1:7" s="603" customFormat="1">
      <c r="A8" s="1826" t="s">
        <v>2275</v>
      </c>
      <c r="B8" s="595" t="s">
        <v>1064</v>
      </c>
      <c r="C8" s="600" t="str">
        <f>IF(G8="已包含在土地购买价格中","0",'数据-取费表'!B29)</f>
        <v>0</v>
      </c>
      <c r="D8" s="602"/>
      <c r="E8" s="600"/>
      <c r="F8" s="601"/>
      <c r="G8" s="84" t="s">
        <v>3086</v>
      </c>
    </row>
    <row r="9" spans="1:7" s="594" customFormat="1" ht="13.5" customHeight="1">
      <c r="A9" s="1827" t="s">
        <v>2282</v>
      </c>
      <c r="B9" s="604" t="s">
        <v>1065</v>
      </c>
      <c r="C9" s="605">
        <f>ROUND(D9*E9/10000,0)</f>
        <v>1115</v>
      </c>
      <c r="D9" s="1931">
        <f>'数据-汇总表'!E5</f>
        <v>65608.850000000006</v>
      </c>
      <c r="E9" s="605">
        <f>'数据-取费表'!B27</f>
        <v>170</v>
      </c>
      <c r="F9" s="601"/>
      <c r="G9" s="606"/>
    </row>
    <row r="10" spans="1:7" s="594" customFormat="1" ht="13.5" customHeight="1">
      <c r="A10" s="1827" t="s">
        <v>2283</v>
      </c>
      <c r="B10" s="604" t="s">
        <v>1066</v>
      </c>
      <c r="C10" s="605">
        <f>ROUND(D10*E10/10000,0)</f>
        <v>1350</v>
      </c>
      <c r="D10" s="1931">
        <f>'数据-汇总表'!E6</f>
        <v>79384.079999999987</v>
      </c>
      <c r="E10" s="605">
        <f>'数据-取费表'!B28</f>
        <v>170</v>
      </c>
      <c r="F10" s="601"/>
      <c r="G10" s="606"/>
    </row>
    <row r="11" spans="1:7" s="594" customFormat="1" ht="13.5" hidden="1" customHeight="1">
      <c r="A11" s="607" t="s">
        <v>45</v>
      </c>
      <c r="B11" s="595" t="s">
        <v>1067</v>
      </c>
      <c r="C11" s="591"/>
      <c r="D11" s="1933"/>
      <c r="E11" s="598"/>
      <c r="F11" s="598"/>
      <c r="G11" s="599"/>
    </row>
    <row r="12" spans="1:7" s="594" customFormat="1" ht="13.5" hidden="1" customHeight="1">
      <c r="A12" s="607" t="s">
        <v>46</v>
      </c>
      <c r="B12" s="595" t="s">
        <v>1068</v>
      </c>
      <c r="C12" s="591">
        <v>0</v>
      </c>
      <c r="D12" s="1933"/>
      <c r="E12" s="608"/>
      <c r="F12" s="601">
        <v>3.0499999999999999E-2</v>
      </c>
      <c r="G12" s="599"/>
    </row>
    <row r="13" spans="1:7" s="594" customFormat="1" ht="13.5" hidden="1" customHeight="1">
      <c r="A13" s="607" t="s">
        <v>47</v>
      </c>
      <c r="B13" s="595" t="s">
        <v>1069</v>
      </c>
      <c r="C13" s="591"/>
      <c r="D13" s="1933"/>
      <c r="E13" s="598"/>
      <c r="F13" s="598"/>
      <c r="G13" s="599"/>
    </row>
    <row r="14" spans="1:7" s="594" customFormat="1" ht="13.5" hidden="1" customHeight="1">
      <c r="A14" s="607" t="s">
        <v>48</v>
      </c>
      <c r="B14" s="595" t="s">
        <v>1064</v>
      </c>
      <c r="C14" s="591"/>
      <c r="D14" s="1933"/>
      <c r="E14" s="598"/>
      <c r="F14" s="598"/>
      <c r="G14" s="599" t="s">
        <v>1070</v>
      </c>
    </row>
    <row r="15" spans="1:7" s="594" customFormat="1" ht="13.5" hidden="1" customHeight="1">
      <c r="A15" s="607" t="s">
        <v>49</v>
      </c>
      <c r="B15" s="595" t="s">
        <v>1071</v>
      </c>
      <c r="C15" s="600"/>
      <c r="D15" s="1933"/>
      <c r="E15" s="598"/>
      <c r="F15" s="598"/>
      <c r="G15" s="599" t="s">
        <v>1072</v>
      </c>
    </row>
    <row r="16" spans="1:7" s="594" customFormat="1" ht="13.5" hidden="1" customHeight="1">
      <c r="A16" s="607" t="s">
        <v>50</v>
      </c>
      <c r="B16" s="595" t="s">
        <v>1064</v>
      </c>
      <c r="C16" s="600"/>
      <c r="D16" s="1933"/>
      <c r="E16" s="598"/>
      <c r="F16" s="598"/>
      <c r="G16" s="599"/>
    </row>
    <row r="17" spans="1:7" s="594" customFormat="1" ht="13.5" hidden="1" customHeight="1">
      <c r="A17" s="607" t="s">
        <v>51</v>
      </c>
      <c r="B17" s="595" t="s">
        <v>1073</v>
      </c>
      <c r="C17" s="609"/>
      <c r="D17" s="1934"/>
      <c r="E17" s="609"/>
      <c r="F17" s="609"/>
      <c r="G17" s="599" t="s">
        <v>1072</v>
      </c>
    </row>
    <row r="18" spans="1:7" s="594" customFormat="1" ht="13.5" hidden="1" customHeight="1">
      <c r="A18" s="607" t="s">
        <v>52</v>
      </c>
      <c r="B18" s="595" t="s">
        <v>1074</v>
      </c>
      <c r="C18" s="600">
        <v>0</v>
      </c>
      <c r="D18" s="1933"/>
      <c r="E18" s="598"/>
      <c r="F18" s="601">
        <v>3.0499999999999999E-2</v>
      </c>
      <c r="G18" s="599" t="s">
        <v>1075</v>
      </c>
    </row>
    <row r="19" spans="1:7" s="603" customFormat="1" ht="13.5" customHeight="1">
      <c r="A19" s="1825" t="s">
        <v>2908</v>
      </c>
      <c r="B19" s="590" t="s">
        <v>1083</v>
      </c>
      <c r="C19" s="591">
        <f>IF(G19="已包含在土地取得成本中","0",ROUND(D19*E19/10000,0))</f>
        <v>2900</v>
      </c>
      <c r="D19" s="1935">
        <f>'数据-汇总表'!E3</f>
        <v>144992.93</v>
      </c>
      <c r="E19" s="591">
        <f>'数据-取费表'!B31</f>
        <v>200</v>
      </c>
      <c r="F19" s="611"/>
      <c r="G19" s="84" t="s">
        <v>2930</v>
      </c>
    </row>
    <row r="20" spans="1:7" s="594" customFormat="1" ht="13.5" customHeight="1">
      <c r="A20" s="1825" t="s">
        <v>2910</v>
      </c>
      <c r="B20" s="590" t="s">
        <v>1076</v>
      </c>
      <c r="C20" s="612">
        <f>ROUND((C5+C19)*F20,0)</f>
        <v>356</v>
      </c>
      <c r="D20" s="612"/>
      <c r="E20" s="612"/>
      <c r="F20" s="613">
        <f>'数据-取费表'!B37</f>
        <v>1.4999999999999999E-2</v>
      </c>
      <c r="G20" s="2655" t="s">
        <v>2921</v>
      </c>
    </row>
    <row r="21" spans="1:7" s="594" customFormat="1" ht="13.5" customHeight="1">
      <c r="A21" s="1825" t="s">
        <v>2912</v>
      </c>
      <c r="B21" s="590" t="s">
        <v>1077</v>
      </c>
      <c r="C21" s="615">
        <f>F21</f>
        <v>0.02</v>
      </c>
      <c r="D21" s="616" t="s">
        <v>1098</v>
      </c>
      <c r="E21" s="612"/>
      <c r="F21" s="613">
        <f>'数据-取费表'!B38</f>
        <v>0.02</v>
      </c>
      <c r="G21" s="614" t="s">
        <v>1078</v>
      </c>
    </row>
    <row r="22" spans="1:7" s="594" customFormat="1" ht="13.5" customHeight="1">
      <c r="A22" s="1825" t="s">
        <v>2268</v>
      </c>
      <c r="B22" s="590" t="s">
        <v>1079</v>
      </c>
      <c r="C22" s="2735">
        <f ca="1">ROUND(SUM(C23:C25),0)</f>
        <v>2568</v>
      </c>
      <c r="D22" s="615">
        <f ca="1">C26</f>
        <v>1E-3</v>
      </c>
      <c r="E22" s="616" t="s">
        <v>1098</v>
      </c>
      <c r="F22" s="617">
        <f ca="1">'数据-取费表'!B40</f>
        <v>4.7500000000000001E-2</v>
      </c>
      <c r="G22" s="2655" t="str">
        <f>IF('数据-取费表'!B22&lt;=1,"单利计息","复利计息")</f>
        <v>复利计息</v>
      </c>
    </row>
    <row r="23" spans="1:7" s="594" customFormat="1" ht="13.5" customHeight="1">
      <c r="A23" s="1828" t="s">
        <v>2276</v>
      </c>
      <c r="B23" s="595" t="s">
        <v>2914</v>
      </c>
      <c r="C23" s="2736">
        <f ca="1">ROUND(IF('数据-取费表'!B22&lt;=1,C5*F22*'数据-取费表'!B23,C5*(POWER((1+F22),'数据-取费表'!B23)-1)),0)</f>
        <v>2237</v>
      </c>
      <c r="D23" s="618"/>
      <c r="E23" s="618"/>
      <c r="F23" s="619"/>
      <c r="G23" s="620" t="s">
        <v>1080</v>
      </c>
    </row>
    <row r="24" spans="1:7" s="594" customFormat="1" ht="13.5" customHeight="1">
      <c r="A24" s="1828" t="s">
        <v>2274</v>
      </c>
      <c r="B24" s="595" t="s">
        <v>2909</v>
      </c>
      <c r="C24" s="2736">
        <f ca="1">ROUND(IF('数据-取费表'!B22&lt;=1,C19*F22*('数据-取费表'!B19/2+'数据-取费表'!B21),C19*(POWER((1+F22),('数据-取费表'!B19/2+'数据-取费表'!B21))-1)),0)</f>
        <v>312</v>
      </c>
      <c r="D24" s="618"/>
      <c r="E24" s="618"/>
      <c r="F24" s="619"/>
      <c r="G24" s="620" t="s">
        <v>1081</v>
      </c>
    </row>
    <row r="25" spans="1:7" s="594" customFormat="1" ht="24">
      <c r="A25" s="1828" t="s">
        <v>2275</v>
      </c>
      <c r="B25" s="595" t="s">
        <v>2911</v>
      </c>
      <c r="C25" s="2736">
        <f ca="1">ROUND(IF('数据-取费表'!B22&lt;=1,C20*F22*'数据-取费表'!B23/2,C20*(POWER((1+F22),'数据-取费表'!B23/2)-1)),0)</f>
        <v>19</v>
      </c>
      <c r="D25" s="618"/>
      <c r="E25" s="621"/>
      <c r="F25" s="619"/>
      <c r="G25" s="622" t="s">
        <v>1082</v>
      </c>
    </row>
    <row r="26" spans="1:7" s="594" customFormat="1">
      <c r="A26" s="1828" t="s">
        <v>2277</v>
      </c>
      <c r="B26" s="595" t="s">
        <v>2913</v>
      </c>
      <c r="C26" s="618">
        <f ca="1">ROUND(IF('数据-取费表'!B22&lt;=1,F21*F22*'数据-取费表'!B23/2,F21*(POWER((1+F22),'数据-取费表'!B23/2)-1)),4)</f>
        <v>1E-3</v>
      </c>
      <c r="D26" s="618"/>
      <c r="E26" s="621"/>
      <c r="F26" s="619"/>
      <c r="G26" s="623"/>
    </row>
    <row r="27" spans="1:7" s="594" customFormat="1" ht="24.75">
      <c r="A27" s="1825" t="s">
        <v>2269</v>
      </c>
      <c r="B27" s="624" t="s">
        <v>1084</v>
      </c>
      <c r="C27" s="625">
        <f>C28</f>
        <v>3388</v>
      </c>
      <c r="D27" s="615">
        <f>C29</f>
        <v>2.8E-3</v>
      </c>
      <c r="E27" s="616" t="s">
        <v>1098</v>
      </c>
      <c r="F27" s="626">
        <f>'数据-取费表'!Q16</f>
        <v>0.16</v>
      </c>
      <c r="G27" s="627" t="s">
        <v>2922</v>
      </c>
    </row>
    <row r="28" spans="1:7" s="594" customFormat="1" ht="13.5" customHeight="1">
      <c r="A28" s="1828" t="s">
        <v>2276</v>
      </c>
      <c r="B28" s="628" t="s">
        <v>2915</v>
      </c>
      <c r="C28" s="629">
        <f>ROUND((C5+C19+C20)*F27*'数据-取费表'!B21/'数据-取费表'!B20,0)</f>
        <v>3388</v>
      </c>
      <c r="D28" s="615"/>
      <c r="E28" s="616"/>
      <c r="F28" s="626"/>
      <c r="G28" s="627"/>
    </row>
    <row r="29" spans="1:7" s="594" customFormat="1" ht="13.5" customHeight="1">
      <c r="A29" s="1828" t="s">
        <v>2274</v>
      </c>
      <c r="B29" s="628" t="s">
        <v>2916</v>
      </c>
      <c r="C29" s="618">
        <f>ROUND(C21*F27*'数据-取费表'!B21/'数据-取费表'!B20,4)</f>
        <v>2.8E-3</v>
      </c>
      <c r="D29" s="615"/>
      <c r="E29" s="616"/>
      <c r="F29" s="626"/>
      <c r="G29" s="627"/>
    </row>
    <row r="30" spans="1:7" s="594" customFormat="1" ht="13.5" customHeight="1">
      <c r="A30" s="1825" t="s">
        <v>2270</v>
      </c>
      <c r="B30" s="590" t="s">
        <v>513</v>
      </c>
      <c r="C30" s="615">
        <f>F30</f>
        <v>5.6000000000000001E-2</v>
      </c>
      <c r="D30" s="616" t="s">
        <v>1099</v>
      </c>
      <c r="E30" s="621"/>
      <c r="F30" s="617">
        <f>'数据-取费表'!B41</f>
        <v>5.6000000000000001E-2</v>
      </c>
      <c r="G30" s="614" t="s">
        <v>1085</v>
      </c>
    </row>
    <row r="31" spans="1:7" ht="16.5" customHeight="1">
      <c r="A31" s="589">
        <v>1</v>
      </c>
      <c r="B31" s="590" t="s">
        <v>1100</v>
      </c>
      <c r="C31" s="591">
        <f ca="1">ROUND((C5+C19+C20+C22+C27)/(1-C21-D22-D27-C30/(1+'数据-取费表'!B42)),0)</f>
        <v>32531</v>
      </c>
      <c r="D31" s="610"/>
      <c r="E31" s="591"/>
      <c r="F31" s="630"/>
      <c r="G31" s="614" t="s">
        <v>2923</v>
      </c>
    </row>
    <row r="32" spans="1:7" s="588" customFormat="1" ht="15.75">
      <c r="A32" s="632" t="s">
        <v>1086</v>
      </c>
      <c r="B32" s="633"/>
      <c r="C32" s="633"/>
      <c r="D32" s="633"/>
      <c r="E32" s="633"/>
      <c r="F32" s="633"/>
      <c r="G32" s="634"/>
    </row>
    <row r="33" spans="1:7" s="594" customFormat="1" ht="13.5" customHeight="1">
      <c r="A33" s="635" t="s">
        <v>2264</v>
      </c>
      <c r="B33" s="590" t="s">
        <v>1087</v>
      </c>
      <c r="C33" s="636">
        <f>SUM(C34:C38)</f>
        <v>33772</v>
      </c>
      <c r="D33" s="612"/>
      <c r="E33" s="592"/>
      <c r="F33" s="621"/>
      <c r="G33" s="614"/>
    </row>
    <row r="34" spans="1:7" s="638" customFormat="1" ht="13.5" customHeight="1">
      <c r="A34" s="1828" t="s">
        <v>2276</v>
      </c>
      <c r="B34" s="595" t="s">
        <v>514</v>
      </c>
      <c r="C34" s="600">
        <f>IF(F34=100%,'数据-取费表'!M16-SUMIF('数据-取费表'!C:C,"公共配套",'数据-取费表'!M:M),'数据-取费表'!O16-SUMIF('数据-取费表'!C:C,"公共配套",'数据-取费表'!O:O))</f>
        <v>29665</v>
      </c>
      <c r="D34" s="597"/>
      <c r="E34" s="600"/>
      <c r="F34" s="637">
        <f>IF('数据-取费表'!B24=0,1,'数据-取费表'!N16)</f>
        <v>0.752</v>
      </c>
      <c r="G34" s="599" t="s">
        <v>1088</v>
      </c>
    </row>
    <row r="35" spans="1:7" ht="13.5" customHeight="1">
      <c r="A35" s="1828" t="s">
        <v>2278</v>
      </c>
      <c r="B35" s="595" t="s">
        <v>515</v>
      </c>
      <c r="C35" s="600">
        <f>ROUND(C34*F35,0)</f>
        <v>890</v>
      </c>
      <c r="D35" s="600"/>
      <c r="E35" s="600"/>
      <c r="F35" s="639">
        <f>'数据-取费表'!B33</f>
        <v>0.03</v>
      </c>
      <c r="G35" s="599" t="s">
        <v>1089</v>
      </c>
    </row>
    <row r="36" spans="1:7" ht="24">
      <c r="A36" s="1828" t="s">
        <v>2279</v>
      </c>
      <c r="B36" s="595" t="s">
        <v>516</v>
      </c>
      <c r="C36" s="600">
        <f>ROUND(IF(SUMIF('数据-取费表'!C:C,"住宅",IF(F34=100%,'数据-取费表'!M:M,'数据-取费表'!O:O))=0,0,IF(F36=0,SUMIF('数据-取费表'!C:C,"公共配套",IF(F34=100%,'数据-取费表'!M:M,'数据-取费表'!O:O)),SUMIF('数据-取费表'!C:C,"住宅",IF(F34=100%,'数据-取费表'!M:M,'数据-取费表'!O:O))*F36)),0)</f>
        <v>591</v>
      </c>
      <c r="D36" s="600"/>
      <c r="E36" s="600"/>
      <c r="F36" s="639">
        <f>'数据-取费表'!B34</f>
        <v>0.05</v>
      </c>
      <c r="G36" s="640" t="s">
        <v>517</v>
      </c>
    </row>
    <row r="37" spans="1:7" s="638" customFormat="1" ht="13.5" customHeight="1">
      <c r="A37" s="1828" t="s">
        <v>2280</v>
      </c>
      <c r="B37" s="595" t="s">
        <v>1090</v>
      </c>
      <c r="C37" s="629">
        <f>ROUND(E37*D37*F34/10000,0)</f>
        <v>2181</v>
      </c>
      <c r="D37" s="597">
        <f>'数据-汇总表'!E3</f>
        <v>144992.93</v>
      </c>
      <c r="E37" s="629">
        <f>'数据-取费表'!B35</f>
        <v>200</v>
      </c>
      <c r="F37" s="639"/>
      <c r="G37" s="641" t="s">
        <v>1091</v>
      </c>
    </row>
    <row r="38" spans="1:7" ht="13.5" customHeight="1">
      <c r="A38" s="1828" t="s">
        <v>2281</v>
      </c>
      <c r="B38" s="595" t="s">
        <v>518</v>
      </c>
      <c r="C38" s="600">
        <f>ROUND(C34*F38,0)</f>
        <v>445</v>
      </c>
      <c r="D38" s="600"/>
      <c r="E38" s="600"/>
      <c r="F38" s="639">
        <f>'数据-取费表'!B36</f>
        <v>1.4999999999999999E-2</v>
      </c>
      <c r="G38" s="599" t="s">
        <v>1089</v>
      </c>
    </row>
    <row r="39" spans="1:7" s="594" customFormat="1" ht="13.5" customHeight="1">
      <c r="A39" s="1825" t="s">
        <v>2265</v>
      </c>
      <c r="B39" s="590" t="s">
        <v>1076</v>
      </c>
      <c r="C39" s="612">
        <f>ROUND(C33*F20,0)</f>
        <v>507</v>
      </c>
      <c r="D39" s="612"/>
      <c r="E39" s="612"/>
      <c r="F39" s="613"/>
      <c r="G39" s="2655" t="s">
        <v>2924</v>
      </c>
    </row>
    <row r="40" spans="1:7" s="594" customFormat="1" ht="13.5" customHeight="1">
      <c r="A40" s="1825" t="s">
        <v>2266</v>
      </c>
      <c r="B40" s="590" t="s">
        <v>1077</v>
      </c>
      <c r="C40" s="642">
        <f>F21</f>
        <v>0.02</v>
      </c>
      <c r="D40" s="616" t="s">
        <v>1101</v>
      </c>
      <c r="E40" s="612"/>
      <c r="F40" s="613"/>
      <c r="G40" s="614" t="s">
        <v>1092</v>
      </c>
    </row>
    <row r="41" spans="1:7" s="594" customFormat="1" ht="13.5" customHeight="1">
      <c r="A41" s="1825" t="s">
        <v>2267</v>
      </c>
      <c r="B41" s="590" t="s">
        <v>1079</v>
      </c>
      <c r="C41" s="612">
        <f ca="1">ROUND(SUM(C42:C43),0)</f>
        <v>1796</v>
      </c>
      <c r="D41" s="615">
        <f ca="1">C44</f>
        <v>1E-3</v>
      </c>
      <c r="E41" s="616" t="s">
        <v>1101</v>
      </c>
      <c r="F41" s="617"/>
      <c r="G41" s="2655" t="str">
        <f>IF('数据-取费表'!B22&lt;=1,"单利计息","复利计息")</f>
        <v>复利计息</v>
      </c>
    </row>
    <row r="42" spans="1:7" ht="13.5" customHeight="1">
      <c r="A42" s="1828" t="s">
        <v>2276</v>
      </c>
      <c r="B42" s="595" t="s">
        <v>2914</v>
      </c>
      <c r="C42" s="618">
        <f ca="1">ROUND(IF('数据-取费表'!B22&lt;=1,C33*F22*'数据-取费表'!B21/2,C33*(POWER((1+F22),'数据-取费表'!B21/2)-1)),0)</f>
        <v>1769</v>
      </c>
      <c r="D42" s="618"/>
      <c r="E42" s="618"/>
      <c r="F42" s="619"/>
      <c r="G42" s="3617" t="s">
        <v>1093</v>
      </c>
    </row>
    <row r="43" spans="1:7" ht="13.5" customHeight="1">
      <c r="A43" s="1828" t="s">
        <v>2274</v>
      </c>
      <c r="B43" s="595" t="s">
        <v>2917</v>
      </c>
      <c r="C43" s="618">
        <f ca="1">ROUND(IF('数据-取费表'!B22&lt;=1,C39*F22*'数据-取费表'!B21/2,C39*(POWER((1+F22),'数据-取费表'!B21/2)-1)),0)</f>
        <v>27</v>
      </c>
      <c r="D43" s="618"/>
      <c r="E43" s="618"/>
      <c r="F43" s="619"/>
      <c r="G43" s="3618"/>
    </row>
    <row r="44" spans="1:7" ht="13.5" customHeight="1">
      <c r="A44" s="1828" t="s">
        <v>2275</v>
      </c>
      <c r="B44" s="595" t="s">
        <v>2919</v>
      </c>
      <c r="C44" s="618">
        <f ca="1">ROUND(IF('数据-取费表'!B22&lt;=1,C40*F22*'数据-取费表'!B21/2,C40*(POWER((1+F22),'数据-取费表'!B21/2)-1)),4)</f>
        <v>1E-3</v>
      </c>
      <c r="D44" s="618"/>
      <c r="E44" s="618"/>
      <c r="F44" s="619"/>
      <c r="G44" s="3619"/>
    </row>
    <row r="45" spans="1:7" s="594" customFormat="1" ht="13.5" customHeight="1">
      <c r="A45" s="1825" t="s">
        <v>2268</v>
      </c>
      <c r="B45" s="624" t="s">
        <v>1084</v>
      </c>
      <c r="C45" s="625">
        <f>C46</f>
        <v>5485</v>
      </c>
      <c r="D45" s="615">
        <f>C47</f>
        <v>3.2000000000000002E-3</v>
      </c>
      <c r="E45" s="616" t="s">
        <v>1101</v>
      </c>
      <c r="F45" s="626"/>
      <c r="G45" s="627" t="s">
        <v>2925</v>
      </c>
    </row>
    <row r="46" spans="1:7" s="594" customFormat="1" ht="13.5" customHeight="1">
      <c r="A46" s="1828" t="s">
        <v>2276</v>
      </c>
      <c r="B46" s="628" t="s">
        <v>2918</v>
      </c>
      <c r="C46" s="629">
        <f>ROUND((C33+C39)*F27,0)</f>
        <v>5485</v>
      </c>
      <c r="D46" s="643"/>
      <c r="E46" s="616"/>
      <c r="F46" s="626"/>
      <c r="G46" s="627"/>
    </row>
    <row r="47" spans="1:7" s="594" customFormat="1" ht="13.5" customHeight="1">
      <c r="A47" s="1828" t="s">
        <v>2274</v>
      </c>
      <c r="B47" s="628" t="s">
        <v>2920</v>
      </c>
      <c r="C47" s="618">
        <f>ROUND(C40*F27,4)</f>
        <v>3.2000000000000002E-3</v>
      </c>
      <c r="D47" s="643"/>
      <c r="E47" s="616"/>
      <c r="F47" s="626"/>
      <c r="G47" s="627"/>
    </row>
    <row r="48" spans="1:7" s="594" customFormat="1" ht="13.5" customHeight="1">
      <c r="A48" s="1825" t="s">
        <v>2269</v>
      </c>
      <c r="B48" s="590" t="s">
        <v>1094</v>
      </c>
      <c r="C48" s="642">
        <f>F30</f>
        <v>5.6000000000000001E-2</v>
      </c>
      <c r="D48" s="616" t="s">
        <v>1102</v>
      </c>
      <c r="E48" s="612"/>
      <c r="F48" s="617"/>
      <c r="G48" s="614" t="s">
        <v>1095</v>
      </c>
    </row>
    <row r="49" spans="1:7" ht="16.5" customHeight="1">
      <c r="A49" s="1825" t="s">
        <v>2270</v>
      </c>
      <c r="B49" s="590" t="s">
        <v>1103</v>
      </c>
      <c r="C49" s="612">
        <f ca="1">ROUND((C33+C39+C41+C45)/(1-C40-D41-D45-C48/(1+'数据-取费表'!B42)),0)</f>
        <v>45053</v>
      </c>
      <c r="D49" s="612"/>
      <c r="E49" s="612"/>
      <c r="F49" s="644"/>
      <c r="G49" s="614" t="s">
        <v>2926</v>
      </c>
    </row>
    <row r="50" spans="1:7" s="638" customFormat="1" ht="24">
      <c r="A50" s="1825" t="s">
        <v>2271</v>
      </c>
      <c r="B50" s="590" t="s">
        <v>1096</v>
      </c>
      <c r="C50" s="612"/>
      <c r="D50" s="612"/>
      <c r="E50" s="612"/>
      <c r="F50" s="644">
        <f>IF('数据-取费表'!B24=0,'数据-取费表'!N16,1)</f>
        <v>1</v>
      </c>
      <c r="G50" s="627" t="s">
        <v>1097</v>
      </c>
    </row>
    <row r="51" spans="1:7" ht="16.5" customHeight="1">
      <c r="A51" s="1825" t="s">
        <v>2272</v>
      </c>
      <c r="B51" s="590" t="s">
        <v>1104</v>
      </c>
      <c r="C51" s="612">
        <f ca="1">ROUND(C49*F50,0)</f>
        <v>45053</v>
      </c>
      <c r="D51" s="612"/>
      <c r="E51" s="612"/>
      <c r="F51" s="644"/>
      <c r="G51" s="614" t="s">
        <v>519</v>
      </c>
    </row>
    <row r="52" spans="1:7" s="588" customFormat="1" ht="16.5" thickBot="1">
      <c r="A52" s="645" t="s">
        <v>520</v>
      </c>
      <c r="B52" s="646"/>
      <c r="C52" s="647">
        <f ca="1">C31+C51</f>
        <v>77584</v>
      </c>
      <c r="D52" s="646"/>
      <c r="E52" s="646"/>
      <c r="F52" s="646"/>
      <c r="G52" s="648"/>
    </row>
    <row r="55" spans="1:7" ht="15">
      <c r="B55" s="650" t="s">
        <v>521</v>
      </c>
      <c r="C55" s="651"/>
    </row>
    <row r="56" spans="1:7">
      <c r="B56" s="653" t="s">
        <v>522</v>
      </c>
      <c r="C56" s="654">
        <f ca="1">ROUND(C51/C52,3)</f>
        <v>0.58099999999999996</v>
      </c>
    </row>
    <row r="57" spans="1:7">
      <c r="B57" s="653" t="s">
        <v>523</v>
      </c>
      <c r="C57" s="655">
        <f ca="1">1-C56</f>
        <v>0.41900000000000004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7" customWidth="1"/>
    <col min="2" max="5" width="10.25" style="1512" customWidth="1"/>
    <col min="6" max="6" width="9" style="1512"/>
    <col min="7" max="8" width="9" style="1540"/>
    <col min="9" max="16384" width="9" style="1512"/>
  </cols>
  <sheetData>
    <row r="1" spans="1:19">
      <c r="A1" s="3792" t="s">
        <v>1517</v>
      </c>
      <c r="B1" s="3792"/>
      <c r="C1" s="3792"/>
      <c r="D1" s="3792"/>
      <c r="E1" s="3792"/>
      <c r="F1" s="3792"/>
      <c r="H1" s="1542" t="s">
        <v>1518</v>
      </c>
      <c r="I1" s="1543" t="s">
        <v>1519</v>
      </c>
      <c r="J1" s="1543" t="s">
        <v>1520</v>
      </c>
      <c r="K1" s="1543" t="s">
        <v>1521</v>
      </c>
      <c r="L1" s="1543" t="s">
        <v>1522</v>
      </c>
      <c r="M1" s="1543" t="s">
        <v>1523</v>
      </c>
      <c r="N1" s="1543" t="s">
        <v>1524</v>
      </c>
      <c r="O1" s="1543" t="s">
        <v>1525</v>
      </c>
      <c r="P1" s="1543" t="s">
        <v>1526</v>
      </c>
      <c r="Q1" s="1543" t="s">
        <v>1527</v>
      </c>
      <c r="R1" s="1543" t="s">
        <v>1528</v>
      </c>
      <c r="S1" s="1544" t="s">
        <v>1529</v>
      </c>
    </row>
    <row r="2" spans="1:19" ht="14.25" thickBot="1">
      <c r="A2" s="3793" t="s">
        <v>1530</v>
      </c>
      <c r="B2" s="3793"/>
      <c r="C2" s="3793"/>
      <c r="D2" s="3793"/>
      <c r="E2" s="3793"/>
      <c r="F2" s="3793"/>
      <c r="H2" s="1545" t="s">
        <v>1531</v>
      </c>
      <c r="I2" s="1546" t="s">
        <v>1532</v>
      </c>
      <c r="J2" s="1546" t="s">
        <v>1533</v>
      </c>
      <c r="K2" s="1546" t="s">
        <v>1534</v>
      </c>
      <c r="L2" s="1546" t="s">
        <v>1535</v>
      </c>
      <c r="M2" s="1546" t="s">
        <v>1536</v>
      </c>
      <c r="N2" s="1546" t="s">
        <v>1537</v>
      </c>
      <c r="O2" s="1546" t="s">
        <v>1538</v>
      </c>
      <c r="P2" s="1546" t="s">
        <v>1539</v>
      </c>
      <c r="Q2" s="1546" t="s">
        <v>1540</v>
      </c>
      <c r="R2" s="1546" t="s">
        <v>1541</v>
      </c>
      <c r="S2" s="1546" t="s">
        <v>1542</v>
      </c>
    </row>
    <row r="3" spans="1:19" s="1541" customFormat="1" ht="19.5" customHeight="1">
      <c r="A3" s="3794" t="s">
        <v>1543</v>
      </c>
      <c r="B3" s="1547"/>
      <c r="C3" s="1548" t="s">
        <v>1544</v>
      </c>
      <c r="D3" s="1548" t="s">
        <v>1545</v>
      </c>
      <c r="E3" s="1548" t="s">
        <v>2193</v>
      </c>
      <c r="F3" s="1548" t="s">
        <v>1547</v>
      </c>
      <c r="G3" s="1549"/>
      <c r="H3" s="1545" t="s">
        <v>1548</v>
      </c>
      <c r="I3" s="1546" t="s">
        <v>1549</v>
      </c>
      <c r="J3" s="1546" t="s">
        <v>1550</v>
      </c>
      <c r="K3" s="1546" t="s">
        <v>1551</v>
      </c>
      <c r="L3" s="1546" t="s">
        <v>1552</v>
      </c>
      <c r="M3" s="1546" t="s">
        <v>1553</v>
      </c>
      <c r="N3" s="1546" t="s">
        <v>1554</v>
      </c>
      <c r="O3" s="1546" t="s">
        <v>1555</v>
      </c>
      <c r="P3" s="1546" t="s">
        <v>1556</v>
      </c>
      <c r="Q3" s="1546" t="s">
        <v>1557</v>
      </c>
      <c r="R3" s="1546" t="s">
        <v>1558</v>
      </c>
      <c r="S3" s="1546" t="s">
        <v>1559</v>
      </c>
    </row>
    <row r="4" spans="1:19" s="1541" customFormat="1" ht="19.5" customHeight="1" thickBot="1">
      <c r="A4" s="3795"/>
      <c r="B4" s="1550" t="s">
        <v>1560</v>
      </c>
      <c r="C4" s="1550" t="s">
        <v>1561</v>
      </c>
      <c r="D4" s="1550" t="s">
        <v>1561</v>
      </c>
      <c r="E4" s="1550" t="s">
        <v>1561</v>
      </c>
      <c r="F4" s="1551" t="s">
        <v>1561</v>
      </c>
      <c r="G4" s="1549"/>
      <c r="H4" s="1545" t="s">
        <v>1562</v>
      </c>
      <c r="I4" s="1546" t="s">
        <v>1484</v>
      </c>
      <c r="J4" s="1546" t="s">
        <v>1563</v>
      </c>
      <c r="K4" s="1546" t="s">
        <v>1564</v>
      </c>
      <c r="L4" s="1546" t="s">
        <v>1565</v>
      </c>
      <c r="M4" s="1546" t="s">
        <v>1566</v>
      </c>
      <c r="N4" s="1546" t="s">
        <v>1567</v>
      </c>
      <c r="O4" s="1546" t="s">
        <v>1568</v>
      </c>
      <c r="P4" s="1546" t="s">
        <v>1569</v>
      </c>
      <c r="Q4" s="1546" t="s">
        <v>1570</v>
      </c>
      <c r="R4" s="1546" t="s">
        <v>1571</v>
      </c>
      <c r="S4" s="1546" t="s">
        <v>1572</v>
      </c>
    </row>
    <row r="5" spans="1:19" ht="14.25" customHeight="1" thickBot="1">
      <c r="A5" s="1552" t="s">
        <v>2304</v>
      </c>
      <c r="B5" s="1553" t="s">
        <v>2305</v>
      </c>
      <c r="C5" s="1553">
        <v>29530</v>
      </c>
      <c r="D5" s="1553">
        <v>28130</v>
      </c>
      <c r="E5" s="1553">
        <v>27930</v>
      </c>
      <c r="F5" s="1554">
        <v>11300</v>
      </c>
      <c r="G5" s="1549"/>
      <c r="H5" s="1545" t="s">
        <v>1574</v>
      </c>
      <c r="I5" s="1546" t="s">
        <v>1575</v>
      </c>
      <c r="J5" s="1546" t="s">
        <v>1576</v>
      </c>
      <c r="K5" s="1546" t="s">
        <v>1577</v>
      </c>
      <c r="L5" s="1546" t="s">
        <v>1578</v>
      </c>
      <c r="M5" s="1546" t="s">
        <v>1579</v>
      </c>
      <c r="N5" s="1546" t="s">
        <v>1580</v>
      </c>
      <c r="O5" s="1546" t="s">
        <v>1581</v>
      </c>
      <c r="P5" s="1546" t="s">
        <v>1582</v>
      </c>
      <c r="Q5" s="1546" t="s">
        <v>1583</v>
      </c>
      <c r="R5" s="1546" t="s">
        <v>1584</v>
      </c>
      <c r="S5" s="1546" t="s">
        <v>1585</v>
      </c>
    </row>
    <row r="6" spans="1:19" ht="14.25" customHeight="1" thickBot="1">
      <c r="A6" s="1552" t="s">
        <v>1573</v>
      </c>
      <c r="B6" s="1546" t="s">
        <v>1548</v>
      </c>
      <c r="C6" s="1546">
        <v>30290</v>
      </c>
      <c r="D6" s="1546">
        <v>29210</v>
      </c>
      <c r="E6" s="1546">
        <v>28860</v>
      </c>
      <c r="F6" s="1555">
        <v>12600</v>
      </c>
      <c r="G6" s="1549"/>
      <c r="H6" s="1545" t="s">
        <v>1586</v>
      </c>
      <c r="I6" s="1546" t="s">
        <v>1587</v>
      </c>
      <c r="J6" s="1546" t="s">
        <v>1588</v>
      </c>
      <c r="K6" s="1546" t="s">
        <v>1589</v>
      </c>
      <c r="L6" s="1546" t="s">
        <v>1590</v>
      </c>
      <c r="M6" s="1546" t="s">
        <v>1591</v>
      </c>
      <c r="N6" s="1546" t="s">
        <v>1592</v>
      </c>
      <c r="O6" s="1546" t="s">
        <v>1593</v>
      </c>
      <c r="P6" s="1546" t="s">
        <v>1594</v>
      </c>
      <c r="Q6" s="1546" t="s">
        <v>1595</v>
      </c>
      <c r="R6" s="1546" t="s">
        <v>1596</v>
      </c>
      <c r="S6" s="1546" t="s">
        <v>1597</v>
      </c>
    </row>
    <row r="7" spans="1:19" ht="14.25" customHeight="1" thickBot="1">
      <c r="A7" s="1552" t="s">
        <v>1573</v>
      </c>
      <c r="B7" s="1556" t="s">
        <v>1562</v>
      </c>
      <c r="C7" s="1546">
        <v>29350</v>
      </c>
      <c r="D7" s="1546">
        <v>28410</v>
      </c>
      <c r="E7" s="1546">
        <v>27990</v>
      </c>
      <c r="F7" s="1555">
        <v>12300</v>
      </c>
      <c r="G7" s="1549"/>
      <c r="I7" s="1546" t="s">
        <v>1598</v>
      </c>
      <c r="J7" s="1546" t="s">
        <v>1599</v>
      </c>
      <c r="K7" s="1546" t="s">
        <v>1600</v>
      </c>
      <c r="L7" s="1546" t="s">
        <v>1601</v>
      </c>
      <c r="M7" s="1546" t="s">
        <v>1602</v>
      </c>
      <c r="N7" s="1546" t="s">
        <v>1603</v>
      </c>
      <c r="O7" s="1546" t="s">
        <v>1604</v>
      </c>
      <c r="P7" s="1546" t="s">
        <v>1605</v>
      </c>
      <c r="Q7" s="1546" t="s">
        <v>1606</v>
      </c>
      <c r="R7" s="1546" t="s">
        <v>1607</v>
      </c>
      <c r="S7" s="1556" t="s">
        <v>1608</v>
      </c>
    </row>
    <row r="8" spans="1:19" ht="14.25" customHeight="1" thickBot="1">
      <c r="A8" s="1552" t="s">
        <v>1573</v>
      </c>
      <c r="B8" s="1546" t="s">
        <v>1574</v>
      </c>
      <c r="C8" s="1546">
        <v>30890</v>
      </c>
      <c r="D8" s="1546">
        <v>29780</v>
      </c>
      <c r="E8" s="1546">
        <v>29270</v>
      </c>
      <c r="F8" s="1555">
        <v>11600</v>
      </c>
      <c r="G8" s="1549"/>
      <c r="I8" s="1546" t="s">
        <v>1609</v>
      </c>
      <c r="J8" s="1546" t="s">
        <v>1610</v>
      </c>
      <c r="K8" s="1546" t="s">
        <v>1611</v>
      </c>
      <c r="L8" s="1546" t="s">
        <v>1612</v>
      </c>
      <c r="M8" s="1546" t="s">
        <v>1613</v>
      </c>
      <c r="N8" s="1546" t="s">
        <v>1614</v>
      </c>
      <c r="O8" s="1546" t="s">
        <v>1615</v>
      </c>
      <c r="P8" s="1546" t="s">
        <v>1616</v>
      </c>
      <c r="Q8" s="1546" t="s">
        <v>1617</v>
      </c>
      <c r="R8" s="1546" t="s">
        <v>1618</v>
      </c>
      <c r="S8" s="1546" t="s">
        <v>1619</v>
      </c>
    </row>
    <row r="9" spans="1:19" ht="14.25" customHeight="1" thickBot="1">
      <c r="A9" s="1552" t="s">
        <v>1573</v>
      </c>
      <c r="B9" s="1557" t="s">
        <v>1586</v>
      </c>
      <c r="C9" s="1558">
        <v>28140</v>
      </c>
      <c r="D9" s="1558"/>
      <c r="E9" s="1558"/>
      <c r="F9" s="1559"/>
      <c r="G9" s="1549"/>
      <c r="I9" s="1546" t="s">
        <v>1620</v>
      </c>
      <c r="J9" s="1546" t="s">
        <v>1621</v>
      </c>
      <c r="K9" s="1546" t="s">
        <v>1622</v>
      </c>
      <c r="L9" s="1546" t="s">
        <v>1623</v>
      </c>
      <c r="M9" s="1546" t="s">
        <v>1624</v>
      </c>
      <c r="N9" s="1546" t="s">
        <v>1625</v>
      </c>
      <c r="O9" s="1546" t="s">
        <v>1626</v>
      </c>
      <c r="P9" s="1546" t="s">
        <v>1627</v>
      </c>
      <c r="Q9" s="1546" t="s">
        <v>1628</v>
      </c>
      <c r="R9" s="1546" t="s">
        <v>1629</v>
      </c>
    </row>
    <row r="10" spans="1:19" ht="14.25" customHeight="1" thickBot="1">
      <c r="A10" s="1552" t="s">
        <v>1630</v>
      </c>
      <c r="B10" s="1553" t="s">
        <v>1631</v>
      </c>
      <c r="C10" s="1553">
        <v>27450</v>
      </c>
      <c r="D10" s="1553">
        <v>26180</v>
      </c>
      <c r="E10" s="1553">
        <v>25980</v>
      </c>
      <c r="F10" s="1554">
        <v>8910</v>
      </c>
      <c r="G10" s="1549"/>
      <c r="I10" s="1546" t="s">
        <v>1632</v>
      </c>
      <c r="J10" s="1546" t="s">
        <v>1633</v>
      </c>
      <c r="K10" s="1546" t="s">
        <v>1634</v>
      </c>
      <c r="L10" s="1546" t="s">
        <v>1635</v>
      </c>
      <c r="M10" s="1546" t="s">
        <v>1636</v>
      </c>
      <c r="N10" s="1546" t="s">
        <v>1637</v>
      </c>
      <c r="O10" s="1546" t="s">
        <v>1638</v>
      </c>
      <c r="P10" s="1546" t="s">
        <v>1639</v>
      </c>
      <c r="Q10" s="1546" t="s">
        <v>1640</v>
      </c>
      <c r="R10" s="1546" t="s">
        <v>1641</v>
      </c>
    </row>
    <row r="11" spans="1:19" ht="14.25" customHeight="1" thickBot="1">
      <c r="A11" s="1552" t="s">
        <v>1630</v>
      </c>
      <c r="B11" s="1556" t="s">
        <v>1549</v>
      </c>
      <c r="C11" s="1546">
        <v>22950</v>
      </c>
      <c r="D11" s="1546">
        <v>22630</v>
      </c>
      <c r="E11" s="1546">
        <v>22030</v>
      </c>
      <c r="F11" s="1560">
        <v>8330</v>
      </c>
      <c r="G11" s="1549"/>
      <c r="I11" s="1546" t="s">
        <v>1642</v>
      </c>
      <c r="J11" s="1546" t="s">
        <v>1643</v>
      </c>
      <c r="K11" s="1546" t="s">
        <v>1644</v>
      </c>
      <c r="L11" s="1546" t="s">
        <v>1645</v>
      </c>
      <c r="M11" s="1546" t="s">
        <v>1646</v>
      </c>
      <c r="N11" s="1546" t="s">
        <v>1647</v>
      </c>
      <c r="O11" s="1546" t="s">
        <v>1648</v>
      </c>
      <c r="P11" s="1546" t="s">
        <v>1649</v>
      </c>
      <c r="Q11" s="1546" t="s">
        <v>1650</v>
      </c>
      <c r="R11" s="1546" t="s">
        <v>1651</v>
      </c>
    </row>
    <row r="12" spans="1:19" ht="14.25" customHeight="1" thickBot="1">
      <c r="A12" s="1552" t="s">
        <v>1630</v>
      </c>
      <c r="B12" s="1556" t="s">
        <v>1484</v>
      </c>
      <c r="C12" s="1546">
        <v>24940</v>
      </c>
      <c r="D12" s="1546">
        <v>23180</v>
      </c>
      <c r="E12" s="1546">
        <v>22910</v>
      </c>
      <c r="F12" s="1560">
        <v>7180</v>
      </c>
      <c r="G12" s="1549"/>
      <c r="I12" s="1546" t="s">
        <v>1652</v>
      </c>
      <c r="J12" s="1546" t="s">
        <v>1653</v>
      </c>
      <c r="K12" s="1546" t="s">
        <v>1654</v>
      </c>
      <c r="L12" s="1546" t="s">
        <v>1655</v>
      </c>
      <c r="M12" s="1546" t="s">
        <v>1656</v>
      </c>
      <c r="N12" s="1546" t="s">
        <v>1657</v>
      </c>
      <c r="O12" s="1546" t="s">
        <v>1658</v>
      </c>
      <c r="P12" s="1546" t="s">
        <v>1659</v>
      </c>
      <c r="Q12" s="1546" t="s">
        <v>1660</v>
      </c>
      <c r="R12" s="1546" t="s">
        <v>1661</v>
      </c>
    </row>
    <row r="13" spans="1:19" ht="14.25" customHeight="1" thickBot="1">
      <c r="A13" s="1552" t="s">
        <v>1630</v>
      </c>
      <c r="B13" s="1556" t="s">
        <v>1575</v>
      </c>
      <c r="C13" s="1546">
        <v>24140</v>
      </c>
      <c r="D13" s="1546">
        <v>22270</v>
      </c>
      <c r="E13" s="1546">
        <v>21950</v>
      </c>
      <c r="F13" s="1560">
        <v>7600</v>
      </c>
      <c r="G13" s="1549"/>
      <c r="I13" s="1546" t="s">
        <v>1662</v>
      </c>
      <c r="J13" s="1546" t="s">
        <v>1663</v>
      </c>
      <c r="K13" s="1546" t="s">
        <v>1664</v>
      </c>
      <c r="L13" s="1546" t="s">
        <v>1665</v>
      </c>
      <c r="M13" s="1546" t="s">
        <v>1666</v>
      </c>
      <c r="N13" s="1546" t="s">
        <v>1667</v>
      </c>
      <c r="O13" s="1546" t="s">
        <v>1668</v>
      </c>
      <c r="P13" s="1546" t="s">
        <v>1669</v>
      </c>
      <c r="Q13" s="1546" t="s">
        <v>1670</v>
      </c>
      <c r="R13" s="1546" t="s">
        <v>1671</v>
      </c>
    </row>
    <row r="14" spans="1:19" ht="14.25" customHeight="1" thickBot="1">
      <c r="A14" s="1552" t="s">
        <v>1630</v>
      </c>
      <c r="B14" s="1556" t="s">
        <v>1587</v>
      </c>
      <c r="C14" s="1546">
        <v>25600</v>
      </c>
      <c r="D14" s="1546">
        <v>22260</v>
      </c>
      <c r="E14" s="1546">
        <v>22110</v>
      </c>
      <c r="F14" s="1560">
        <v>7630</v>
      </c>
      <c r="G14" s="1549"/>
      <c r="I14" s="1546" t="s">
        <v>1672</v>
      </c>
      <c r="J14" s="1546" t="s">
        <v>1673</v>
      </c>
      <c r="K14" s="1546" t="s">
        <v>1674</v>
      </c>
      <c r="L14" s="1546" t="s">
        <v>1675</v>
      </c>
      <c r="M14" s="1546" t="s">
        <v>1676</v>
      </c>
      <c r="N14" s="1546" t="s">
        <v>1677</v>
      </c>
      <c r="O14" s="1546" t="s">
        <v>1678</v>
      </c>
      <c r="P14" s="1546" t="s">
        <v>1679</v>
      </c>
      <c r="Q14" s="1546" t="s">
        <v>1680</v>
      </c>
      <c r="R14" s="1546" t="s">
        <v>1681</v>
      </c>
    </row>
    <row r="15" spans="1:19" ht="14.25" customHeight="1" thickBot="1">
      <c r="A15" s="1552" t="s">
        <v>1630</v>
      </c>
      <c r="B15" s="1556" t="s">
        <v>1598</v>
      </c>
      <c r="C15" s="1546">
        <v>24760</v>
      </c>
      <c r="D15" s="1546">
        <v>24440</v>
      </c>
      <c r="E15" s="1546">
        <v>24130</v>
      </c>
      <c r="F15" s="1560">
        <v>9480</v>
      </c>
      <c r="G15" s="1549"/>
      <c r="I15" s="1546" t="s">
        <v>1683</v>
      </c>
      <c r="J15" s="1546" t="s">
        <v>1684</v>
      </c>
      <c r="K15" s="1546" t="s">
        <v>1685</v>
      </c>
      <c r="L15" s="1546" t="s">
        <v>1686</v>
      </c>
      <c r="M15" s="1546" t="s">
        <v>1687</v>
      </c>
      <c r="N15" s="1546" t="s">
        <v>1688</v>
      </c>
      <c r="O15" s="1546" t="s">
        <v>1689</v>
      </c>
      <c r="P15" s="1546" t="s">
        <v>1690</v>
      </c>
      <c r="Q15" s="1546" t="s">
        <v>1691</v>
      </c>
      <c r="R15" s="1546" t="s">
        <v>1692</v>
      </c>
    </row>
    <row r="16" spans="1:19" ht="14.25" customHeight="1" thickBot="1">
      <c r="A16" s="1552" t="s">
        <v>1630</v>
      </c>
      <c r="B16" s="1556" t="s">
        <v>1609</v>
      </c>
      <c r="C16" s="1546">
        <v>22220</v>
      </c>
      <c r="D16" s="1546">
        <v>22310</v>
      </c>
      <c r="E16" s="1546">
        <v>22000</v>
      </c>
      <c r="F16" s="1560">
        <v>8900</v>
      </c>
      <c r="G16" s="1549"/>
      <c r="I16" s="1546" t="s">
        <v>1694</v>
      </c>
      <c r="J16" s="1546" t="s">
        <v>1695</v>
      </c>
      <c r="K16" s="1546" t="s">
        <v>1696</v>
      </c>
      <c r="L16" s="1546" t="s">
        <v>1697</v>
      </c>
      <c r="M16" s="1546" t="s">
        <v>1698</v>
      </c>
      <c r="N16" s="1546" t="s">
        <v>1699</v>
      </c>
      <c r="O16" s="1546" t="s">
        <v>1700</v>
      </c>
      <c r="P16" s="1546" t="s">
        <v>1701</v>
      </c>
      <c r="Q16" s="1546" t="s">
        <v>1702</v>
      </c>
      <c r="R16" s="1546" t="s">
        <v>1703</v>
      </c>
    </row>
    <row r="17" spans="1:18" ht="14.25" customHeight="1" thickBot="1">
      <c r="A17" s="1552" t="s">
        <v>1630</v>
      </c>
      <c r="B17" s="1556" t="s">
        <v>1620</v>
      </c>
      <c r="C17" s="1546">
        <v>24700</v>
      </c>
      <c r="D17" s="1546">
        <v>25150</v>
      </c>
      <c r="E17" s="1546">
        <v>24700</v>
      </c>
      <c r="F17" s="1561"/>
      <c r="G17" s="1549"/>
      <c r="I17" s="1546" t="s">
        <v>1704</v>
      </c>
      <c r="J17" s="1546" t="s">
        <v>1705</v>
      </c>
      <c r="K17" s="1546" t="s">
        <v>1706</v>
      </c>
      <c r="L17" s="1546" t="s">
        <v>1707</v>
      </c>
      <c r="M17" s="1546" t="s">
        <v>1708</v>
      </c>
      <c r="N17" s="1546" t="s">
        <v>1709</v>
      </c>
      <c r="O17" s="1546" t="s">
        <v>1710</v>
      </c>
      <c r="P17" s="1546" t="s">
        <v>1711</v>
      </c>
      <c r="Q17" s="1546" t="s">
        <v>1712</v>
      </c>
      <c r="R17" s="1546" t="s">
        <v>1713</v>
      </c>
    </row>
    <row r="18" spans="1:18" ht="14.25" customHeight="1" thickBot="1">
      <c r="A18" s="1552" t="s">
        <v>1630</v>
      </c>
      <c r="B18" s="1556" t="s">
        <v>1632</v>
      </c>
      <c r="C18" s="1546">
        <v>22350</v>
      </c>
      <c r="D18" s="1546">
        <v>24340</v>
      </c>
      <c r="E18" s="1546">
        <v>24100</v>
      </c>
      <c r="F18" s="1561"/>
      <c r="G18" s="1549"/>
      <c r="I18" s="1546" t="s">
        <v>1714</v>
      </c>
      <c r="J18" s="1546" t="s">
        <v>1715</v>
      </c>
      <c r="K18" s="1546" t="s">
        <v>1716</v>
      </c>
      <c r="L18" s="1546" t="s">
        <v>1717</v>
      </c>
      <c r="M18" s="1546" t="s">
        <v>1718</v>
      </c>
      <c r="N18" s="1546" t="s">
        <v>1719</v>
      </c>
      <c r="O18" s="1546" t="s">
        <v>1720</v>
      </c>
      <c r="P18" s="1546" t="s">
        <v>1721</v>
      </c>
      <c r="Q18" s="1546" t="s">
        <v>1722</v>
      </c>
      <c r="R18" s="1546" t="s">
        <v>1723</v>
      </c>
    </row>
    <row r="19" spans="1:18" ht="14.25" customHeight="1" thickBot="1">
      <c r="A19" s="1552" t="s">
        <v>1630</v>
      </c>
      <c r="B19" s="1556" t="s">
        <v>1642</v>
      </c>
      <c r="C19" s="1546">
        <v>23430</v>
      </c>
      <c r="D19" s="1546">
        <v>21580</v>
      </c>
      <c r="E19" s="1546">
        <v>21350</v>
      </c>
      <c r="F19" s="1561"/>
      <c r="G19" s="1549"/>
      <c r="I19" s="1546" t="s">
        <v>1724</v>
      </c>
      <c r="J19" s="1546" t="s">
        <v>1725</v>
      </c>
      <c r="K19" s="1546" t="s">
        <v>1726</v>
      </c>
      <c r="L19" s="1546" t="s">
        <v>1727</v>
      </c>
      <c r="M19" s="1546" t="s">
        <v>1728</v>
      </c>
      <c r="N19" s="1546" t="s">
        <v>1729</v>
      </c>
      <c r="O19" s="1546" t="s">
        <v>1730</v>
      </c>
      <c r="P19" s="1546" t="s">
        <v>1731</v>
      </c>
      <c r="Q19" s="1546" t="s">
        <v>1732</v>
      </c>
      <c r="R19" s="1546" t="s">
        <v>1733</v>
      </c>
    </row>
    <row r="20" spans="1:18" ht="14.25" customHeight="1" thickBot="1">
      <c r="A20" s="1552" t="s">
        <v>1630</v>
      </c>
      <c r="B20" s="1556" t="s">
        <v>1652</v>
      </c>
      <c r="C20" s="1546">
        <v>27660</v>
      </c>
      <c r="D20" s="1546">
        <v>24240</v>
      </c>
      <c r="E20" s="1546">
        <v>24020</v>
      </c>
      <c r="F20" s="1561"/>
      <c r="I20" s="1546" t="s">
        <v>1734</v>
      </c>
      <c r="J20" s="1546" t="s">
        <v>1735</v>
      </c>
      <c r="K20" s="1546" t="s">
        <v>1736</v>
      </c>
      <c r="L20" s="1546" t="s">
        <v>1737</v>
      </c>
      <c r="M20" s="1546" t="s">
        <v>1738</v>
      </c>
      <c r="N20" s="1546" t="s">
        <v>1739</v>
      </c>
      <c r="O20" s="1546" t="s">
        <v>1740</v>
      </c>
      <c r="P20" s="1546" t="s">
        <v>1741</v>
      </c>
      <c r="Q20" s="1546" t="s">
        <v>1742</v>
      </c>
      <c r="R20" s="1546" t="s">
        <v>1743</v>
      </c>
    </row>
    <row r="21" spans="1:18" ht="14.25" customHeight="1" thickBot="1">
      <c r="A21" s="1552" t="s">
        <v>1630</v>
      </c>
      <c r="B21" s="1556" t="s">
        <v>1662</v>
      </c>
      <c r="C21" s="1546">
        <v>24720</v>
      </c>
      <c r="D21" s="1546">
        <v>21670</v>
      </c>
      <c r="E21" s="1546">
        <v>21510</v>
      </c>
      <c r="F21" s="1561"/>
      <c r="J21" s="1546" t="s">
        <v>1744</v>
      </c>
      <c r="K21" s="1546" t="s">
        <v>1745</v>
      </c>
      <c r="L21" s="1546" t="s">
        <v>1746</v>
      </c>
      <c r="M21" s="1546" t="s">
        <v>1747</v>
      </c>
      <c r="N21" s="1546" t="s">
        <v>1748</v>
      </c>
      <c r="O21" s="1546" t="s">
        <v>1749</v>
      </c>
      <c r="P21" s="1546" t="s">
        <v>1750</v>
      </c>
      <c r="Q21" s="1546" t="s">
        <v>1751</v>
      </c>
      <c r="R21" s="1546" t="s">
        <v>1752</v>
      </c>
    </row>
    <row r="22" spans="1:18" ht="14.25" customHeight="1" thickBot="1">
      <c r="A22" s="1552" t="s">
        <v>1630</v>
      </c>
      <c r="B22" s="1556" t="s">
        <v>1753</v>
      </c>
      <c r="C22" s="1546">
        <v>26530</v>
      </c>
      <c r="D22" s="1546">
        <v>22980</v>
      </c>
      <c r="E22" s="1546">
        <v>22650</v>
      </c>
      <c r="F22" s="1561"/>
      <c r="K22" s="1546" t="s">
        <v>1754</v>
      </c>
      <c r="L22" s="1546" t="s">
        <v>1755</v>
      </c>
      <c r="M22" s="1546" t="s">
        <v>1756</v>
      </c>
      <c r="N22" s="1546" t="s">
        <v>1757</v>
      </c>
      <c r="O22" s="1546" t="s">
        <v>1758</v>
      </c>
      <c r="P22" s="1546" t="s">
        <v>1759</v>
      </c>
      <c r="Q22" s="1546" t="s">
        <v>1760</v>
      </c>
      <c r="R22" s="1556" t="s">
        <v>1761</v>
      </c>
    </row>
    <row r="23" spans="1:18" ht="14.25" customHeight="1" thickBot="1">
      <c r="A23" s="1552" t="s">
        <v>1630</v>
      </c>
      <c r="B23" s="1556" t="s">
        <v>1683</v>
      </c>
      <c r="C23" s="1546">
        <v>24700</v>
      </c>
      <c r="D23" s="1546">
        <v>27290</v>
      </c>
      <c r="E23" s="1546">
        <v>26710</v>
      </c>
      <c r="F23" s="1561"/>
      <c r="K23" s="1546" t="s">
        <v>1762</v>
      </c>
      <c r="L23" s="1546" t="s">
        <v>1763</v>
      </c>
      <c r="M23" s="1546" t="s">
        <v>1764</v>
      </c>
      <c r="N23" s="1546" t="s">
        <v>1765</v>
      </c>
      <c r="O23" s="1546" t="s">
        <v>1766</v>
      </c>
      <c r="P23" s="1546" t="s">
        <v>1767</v>
      </c>
      <c r="Q23" s="1546" t="s">
        <v>1768</v>
      </c>
    </row>
    <row r="24" spans="1:18" ht="14.25" customHeight="1" thickBot="1">
      <c r="A24" s="1552" t="s">
        <v>1630</v>
      </c>
      <c r="B24" s="1556" t="s">
        <v>1694</v>
      </c>
      <c r="C24" s="1546">
        <v>23070</v>
      </c>
      <c r="D24" s="1546">
        <v>24130</v>
      </c>
      <c r="E24" s="1546">
        <v>23860</v>
      </c>
      <c r="F24" s="1561"/>
      <c r="K24" s="1546" t="s">
        <v>1769</v>
      </c>
      <c r="L24" s="1546" t="s">
        <v>1770</v>
      </c>
      <c r="M24" s="1546" t="s">
        <v>1771</v>
      </c>
      <c r="N24" s="1546" t="s">
        <v>1772</v>
      </c>
      <c r="O24" s="1546" t="s">
        <v>1773</v>
      </c>
      <c r="P24" s="1546" t="s">
        <v>1774</v>
      </c>
      <c r="Q24" s="1546" t="s">
        <v>1775</v>
      </c>
    </row>
    <row r="25" spans="1:18" ht="14.25" customHeight="1" thickBot="1">
      <c r="A25" s="1552" t="s">
        <v>1630</v>
      </c>
      <c r="B25" s="1556" t="s">
        <v>1704</v>
      </c>
      <c r="C25" s="1546">
        <v>27550</v>
      </c>
      <c r="D25" s="1546">
        <v>25850</v>
      </c>
      <c r="E25" s="1546">
        <v>25340</v>
      </c>
      <c r="F25" s="1561"/>
      <c r="K25" s="1546" t="s">
        <v>1776</v>
      </c>
      <c r="L25" s="1546" t="s">
        <v>1777</v>
      </c>
      <c r="M25" s="1546" t="s">
        <v>1778</v>
      </c>
      <c r="N25" s="1546" t="s">
        <v>1779</v>
      </c>
      <c r="O25" s="1546" t="s">
        <v>1780</v>
      </c>
      <c r="P25" s="1546" t="s">
        <v>1781</v>
      </c>
      <c r="Q25" s="1546" t="s">
        <v>1782</v>
      </c>
    </row>
    <row r="26" spans="1:18" ht="14.25" customHeight="1" thickBot="1">
      <c r="A26" s="1552" t="s">
        <v>1630</v>
      </c>
      <c r="B26" s="1556" t="s">
        <v>1714</v>
      </c>
      <c r="C26" s="1546"/>
      <c r="D26" s="1546">
        <v>23900</v>
      </c>
      <c r="E26" s="1546">
        <v>23590</v>
      </c>
      <c r="F26" s="1561"/>
      <c r="K26" s="1546" t="s">
        <v>1783</v>
      </c>
      <c r="L26" s="1546" t="s">
        <v>1784</v>
      </c>
      <c r="M26" s="1546" t="s">
        <v>1785</v>
      </c>
      <c r="N26" s="1546" t="s">
        <v>1786</v>
      </c>
      <c r="O26" s="1546" t="s">
        <v>1787</v>
      </c>
      <c r="P26" s="1546" t="s">
        <v>1788</v>
      </c>
      <c r="Q26" s="1546" t="s">
        <v>1789</v>
      </c>
    </row>
    <row r="27" spans="1:18" ht="14.25" customHeight="1" thickBot="1">
      <c r="A27" s="1552" t="s">
        <v>1630</v>
      </c>
      <c r="B27" s="1556" t="s">
        <v>1724</v>
      </c>
      <c r="C27" s="1546"/>
      <c r="D27" s="1546">
        <v>22850</v>
      </c>
      <c r="E27" s="1546">
        <v>21920</v>
      </c>
      <c r="F27" s="1561"/>
      <c r="K27" s="1546" t="s">
        <v>1790</v>
      </c>
      <c r="L27" s="1546" t="s">
        <v>1791</v>
      </c>
      <c r="M27" s="1546" t="s">
        <v>1792</v>
      </c>
      <c r="N27" s="1546" t="s">
        <v>1793</v>
      </c>
      <c r="O27" s="1546" t="s">
        <v>1794</v>
      </c>
      <c r="P27" s="1546" t="s">
        <v>1795</v>
      </c>
      <c r="Q27" s="1546" t="s">
        <v>1796</v>
      </c>
    </row>
    <row r="28" spans="1:18" ht="14.25" customHeight="1" thickBot="1">
      <c r="A28" s="1562" t="s">
        <v>1630</v>
      </c>
      <c r="B28" s="1557" t="s">
        <v>1734</v>
      </c>
      <c r="C28" s="1558"/>
      <c r="D28" s="1558">
        <v>26610</v>
      </c>
      <c r="E28" s="1558">
        <v>26370</v>
      </c>
      <c r="F28" s="1559"/>
      <c r="K28" s="1546" t="s">
        <v>1797</v>
      </c>
      <c r="L28" s="1546" t="s">
        <v>1798</v>
      </c>
      <c r="M28" s="1546" t="s">
        <v>1799</v>
      </c>
      <c r="N28" s="1546" t="s">
        <v>1800</v>
      </c>
      <c r="O28" s="1546" t="s">
        <v>1801</v>
      </c>
      <c r="P28" s="1546" t="s">
        <v>1802</v>
      </c>
    </row>
    <row r="29" spans="1:18" ht="14.25" customHeight="1" thickBot="1">
      <c r="A29" s="1552" t="s">
        <v>1803</v>
      </c>
      <c r="B29" s="1553" t="s">
        <v>1804</v>
      </c>
      <c r="C29" s="1553">
        <v>22090</v>
      </c>
      <c r="D29" s="1553">
        <v>21860</v>
      </c>
      <c r="E29" s="1553">
        <v>19380</v>
      </c>
      <c r="F29" s="1554">
        <v>6610</v>
      </c>
      <c r="L29" s="1546" t="s">
        <v>1805</v>
      </c>
      <c r="M29" s="1546" t="s">
        <v>1806</v>
      </c>
      <c r="N29" s="1546" t="s">
        <v>1807</v>
      </c>
      <c r="O29" s="1546" t="s">
        <v>1808</v>
      </c>
      <c r="P29" s="1546" t="s">
        <v>1809</v>
      </c>
    </row>
    <row r="30" spans="1:18" ht="14.25" customHeight="1" thickBot="1">
      <c r="A30" s="1552" t="s">
        <v>1803</v>
      </c>
      <c r="B30" s="1556" t="s">
        <v>1550</v>
      </c>
      <c r="C30" s="1546">
        <v>21380</v>
      </c>
      <c r="D30" s="1546">
        <v>19930</v>
      </c>
      <c r="E30" s="1546">
        <v>19860</v>
      </c>
      <c r="F30" s="1560">
        <v>6010</v>
      </c>
      <c r="L30" s="1546" t="s">
        <v>1810</v>
      </c>
      <c r="M30" s="1546" t="s">
        <v>1811</v>
      </c>
      <c r="N30" s="1546" t="s">
        <v>1812</v>
      </c>
      <c r="O30" s="1546" t="s">
        <v>2890</v>
      </c>
      <c r="P30" s="1546" t="s">
        <v>1813</v>
      </c>
    </row>
    <row r="31" spans="1:18" ht="14.25" customHeight="1" thickBot="1">
      <c r="A31" s="1552" t="s">
        <v>1803</v>
      </c>
      <c r="B31" s="1556" t="s">
        <v>1563</v>
      </c>
      <c r="C31" s="1546">
        <v>21670</v>
      </c>
      <c r="D31" s="1546">
        <v>20660</v>
      </c>
      <c r="E31" s="1546">
        <v>20290</v>
      </c>
      <c r="F31" s="1560">
        <v>5840</v>
      </c>
      <c r="L31" s="1546" t="s">
        <v>1814</v>
      </c>
      <c r="M31" s="1546" t="s">
        <v>1815</v>
      </c>
      <c r="N31" s="1546" t="s">
        <v>1816</v>
      </c>
      <c r="O31" s="1546" t="s">
        <v>1817</v>
      </c>
      <c r="P31" s="1546" t="s">
        <v>1818</v>
      </c>
    </row>
    <row r="32" spans="1:18" ht="14.25" customHeight="1" thickBot="1">
      <c r="A32" s="1552" t="s">
        <v>1803</v>
      </c>
      <c r="B32" s="1556" t="s">
        <v>1576</v>
      </c>
      <c r="C32" s="1546">
        <v>22280</v>
      </c>
      <c r="D32" s="1546">
        <v>21800</v>
      </c>
      <c r="E32" s="1546">
        <v>17650</v>
      </c>
      <c r="F32" s="1560">
        <v>4690</v>
      </c>
      <c r="L32" s="1546" t="s">
        <v>1819</v>
      </c>
      <c r="M32" s="1546" t="s">
        <v>1820</v>
      </c>
      <c r="N32" s="1546" t="s">
        <v>1821</v>
      </c>
      <c r="O32" s="1546" t="s">
        <v>1822</v>
      </c>
      <c r="P32" s="1546" t="s">
        <v>1823</v>
      </c>
    </row>
    <row r="33" spans="1:16" ht="14.25" customHeight="1" thickBot="1">
      <c r="A33" s="1552" t="s">
        <v>1803</v>
      </c>
      <c r="B33" s="1556" t="s">
        <v>1588</v>
      </c>
      <c r="C33" s="1546">
        <v>22130</v>
      </c>
      <c r="D33" s="1546">
        <v>20460</v>
      </c>
      <c r="E33" s="1546">
        <v>18500</v>
      </c>
      <c r="F33" s="1560">
        <v>5340</v>
      </c>
      <c r="L33" s="1546" t="s">
        <v>1824</v>
      </c>
      <c r="M33" s="1546" t="s">
        <v>1825</v>
      </c>
      <c r="N33" s="1546" t="s">
        <v>1826</v>
      </c>
      <c r="O33" s="1546" t="s">
        <v>1827</v>
      </c>
      <c r="P33" s="1546" t="s">
        <v>1828</v>
      </c>
    </row>
    <row r="34" spans="1:16" ht="14.25" customHeight="1" thickBot="1">
      <c r="A34" s="1552" t="s">
        <v>1803</v>
      </c>
      <c r="B34" s="1556" t="s">
        <v>1599</v>
      </c>
      <c r="C34" s="1546">
        <v>22070</v>
      </c>
      <c r="D34" s="1546">
        <v>20110</v>
      </c>
      <c r="E34" s="1546">
        <v>18830</v>
      </c>
      <c r="F34" s="1560">
        <v>5190</v>
      </c>
      <c r="L34" s="1546" t="s">
        <v>1829</v>
      </c>
      <c r="M34" s="1546" t="s">
        <v>1830</v>
      </c>
      <c r="N34" s="1546" t="s">
        <v>1831</v>
      </c>
      <c r="O34" s="1546" t="s">
        <v>1832</v>
      </c>
      <c r="P34" s="1546" t="s">
        <v>1833</v>
      </c>
    </row>
    <row r="35" spans="1:16" ht="14.25" customHeight="1" thickBot="1">
      <c r="A35" s="1552" t="s">
        <v>1803</v>
      </c>
      <c r="B35" s="1556" t="s">
        <v>1610</v>
      </c>
      <c r="C35" s="1546">
        <v>22240</v>
      </c>
      <c r="D35" s="1546">
        <v>19550</v>
      </c>
      <c r="E35" s="1546">
        <v>19220</v>
      </c>
      <c r="F35" s="1560">
        <v>5800</v>
      </c>
      <c r="L35" s="1546" t="s">
        <v>1834</v>
      </c>
      <c r="M35" s="1546" t="s">
        <v>1835</v>
      </c>
      <c r="N35" s="1546" t="s">
        <v>1836</v>
      </c>
      <c r="O35" s="1546" t="s">
        <v>1837</v>
      </c>
      <c r="P35" s="1546" t="s">
        <v>1838</v>
      </c>
    </row>
    <row r="36" spans="1:16" ht="14.25" customHeight="1" thickBot="1">
      <c r="A36" s="1552" t="s">
        <v>1803</v>
      </c>
      <c r="B36" s="1556" t="s">
        <v>1621</v>
      </c>
      <c r="C36" s="1546">
        <v>19750</v>
      </c>
      <c r="D36" s="1546">
        <v>19790</v>
      </c>
      <c r="E36" s="1546">
        <v>18510</v>
      </c>
      <c r="F36" s="1560">
        <v>6520</v>
      </c>
      <c r="M36" s="1546" t="s">
        <v>1839</v>
      </c>
      <c r="N36" s="1546" t="s">
        <v>1840</v>
      </c>
      <c r="O36" s="1546" t="s">
        <v>1841</v>
      </c>
      <c r="P36" s="1546" t="s">
        <v>1842</v>
      </c>
    </row>
    <row r="37" spans="1:16" ht="14.25" customHeight="1" thickBot="1">
      <c r="A37" s="1552" t="s">
        <v>1803</v>
      </c>
      <c r="B37" s="1556" t="s">
        <v>1633</v>
      </c>
      <c r="C37" s="1546">
        <v>22380</v>
      </c>
      <c r="D37" s="1546">
        <v>18530</v>
      </c>
      <c r="E37" s="1546">
        <v>17930</v>
      </c>
      <c r="F37" s="1560">
        <v>6270</v>
      </c>
      <c r="M37" s="1546" t="s">
        <v>1843</v>
      </c>
      <c r="N37" s="1546" t="s">
        <v>1844</v>
      </c>
      <c r="O37" s="1546" t="s">
        <v>1845</v>
      </c>
      <c r="P37" s="1546" t="s">
        <v>1846</v>
      </c>
    </row>
    <row r="38" spans="1:16" ht="14.25" customHeight="1" thickBot="1">
      <c r="A38" s="1552" t="s">
        <v>1803</v>
      </c>
      <c r="B38" s="1556" t="s">
        <v>1643</v>
      </c>
      <c r="C38" s="1546">
        <v>20200</v>
      </c>
      <c r="D38" s="1546">
        <v>20070</v>
      </c>
      <c r="E38" s="1546">
        <v>19950</v>
      </c>
      <c r="F38" s="1560"/>
      <c r="M38" s="1546" t="s">
        <v>1847</v>
      </c>
      <c r="N38" s="1546" t="s">
        <v>1848</v>
      </c>
      <c r="O38" s="1546" t="s">
        <v>1849</v>
      </c>
      <c r="P38" s="1546" t="s">
        <v>1850</v>
      </c>
    </row>
    <row r="39" spans="1:16" ht="14.25" customHeight="1" thickBot="1">
      <c r="A39" s="1552" t="s">
        <v>1803</v>
      </c>
      <c r="B39" s="1556" t="s">
        <v>1653</v>
      </c>
      <c r="C39" s="1546">
        <v>19300</v>
      </c>
      <c r="D39" s="1546">
        <v>20360</v>
      </c>
      <c r="E39" s="1546">
        <v>20230</v>
      </c>
      <c r="F39" s="1560"/>
      <c r="M39" s="1546" t="s">
        <v>1851</v>
      </c>
      <c r="N39" s="1546" t="s">
        <v>1852</v>
      </c>
      <c r="O39" s="1546" t="s">
        <v>1853</v>
      </c>
      <c r="P39" s="1546" t="s">
        <v>1854</v>
      </c>
    </row>
    <row r="40" spans="1:16" ht="14.25" customHeight="1" thickBot="1">
      <c r="A40" s="1552" t="s">
        <v>1803</v>
      </c>
      <c r="B40" s="1556" t="s">
        <v>1663</v>
      </c>
      <c r="C40" s="1546">
        <v>20210</v>
      </c>
      <c r="D40" s="1546">
        <v>19060</v>
      </c>
      <c r="E40" s="1546">
        <v>18890</v>
      </c>
      <c r="F40" s="1560"/>
      <c r="M40" s="1546" t="s">
        <v>1855</v>
      </c>
      <c r="N40" s="1546" t="s">
        <v>1856</v>
      </c>
      <c r="O40" s="1546" t="s">
        <v>1857</v>
      </c>
      <c r="P40" s="1546" t="s">
        <v>1858</v>
      </c>
    </row>
    <row r="41" spans="1:16" ht="14.25" customHeight="1" thickBot="1">
      <c r="A41" s="1552" t="s">
        <v>1803</v>
      </c>
      <c r="B41" s="1556" t="s">
        <v>1673</v>
      </c>
      <c r="C41" s="1546">
        <v>20560</v>
      </c>
      <c r="D41" s="1546">
        <v>21040</v>
      </c>
      <c r="E41" s="1546">
        <v>20740</v>
      </c>
      <c r="F41" s="1560"/>
      <c r="M41" s="1556" t="s">
        <v>1859</v>
      </c>
      <c r="N41" s="1556" t="s">
        <v>1860</v>
      </c>
      <c r="P41" s="1556" t="s">
        <v>1861</v>
      </c>
    </row>
    <row r="42" spans="1:16" ht="14.25" customHeight="1" thickBot="1">
      <c r="A42" s="1552" t="s">
        <v>1803</v>
      </c>
      <c r="B42" s="1556" t="s">
        <v>1684</v>
      </c>
      <c r="C42" s="1546">
        <v>19280</v>
      </c>
      <c r="D42" s="1546">
        <v>22940</v>
      </c>
      <c r="E42" s="1546">
        <v>22500</v>
      </c>
      <c r="F42" s="1560"/>
      <c r="M42" s="1546" t="s">
        <v>1862</v>
      </c>
      <c r="N42" s="1546" t="s">
        <v>1863</v>
      </c>
      <c r="P42" s="1546" t="s">
        <v>1864</v>
      </c>
    </row>
    <row r="43" spans="1:16" ht="14.25" customHeight="1" thickBot="1">
      <c r="A43" s="1552" t="s">
        <v>1803</v>
      </c>
      <c r="B43" s="1556" t="s">
        <v>1695</v>
      </c>
      <c r="C43" s="1546">
        <v>21520</v>
      </c>
      <c r="D43" s="1546">
        <v>19230</v>
      </c>
      <c r="E43" s="1546">
        <v>18540</v>
      </c>
      <c r="F43" s="1560"/>
      <c r="M43" s="1546" t="s">
        <v>1865</v>
      </c>
      <c r="N43" s="1546" t="s">
        <v>1866</v>
      </c>
      <c r="P43" s="1546" t="s">
        <v>1867</v>
      </c>
    </row>
    <row r="44" spans="1:16" ht="14.25" customHeight="1" thickBot="1">
      <c r="A44" s="1552" t="s">
        <v>1803</v>
      </c>
      <c r="B44" s="1556" t="s">
        <v>1705</v>
      </c>
      <c r="C44" s="1546">
        <v>23260</v>
      </c>
      <c r="D44" s="1546">
        <v>21180</v>
      </c>
      <c r="E44" s="1546">
        <v>20730</v>
      </c>
      <c r="F44" s="1560"/>
      <c r="M44" s="1546" t="s">
        <v>1868</v>
      </c>
      <c r="N44" s="1546" t="s">
        <v>1869</v>
      </c>
      <c r="P44" s="1546" t="s">
        <v>1870</v>
      </c>
    </row>
    <row r="45" spans="1:16" ht="14.25" customHeight="1" thickBot="1">
      <c r="A45" s="1552" t="s">
        <v>1803</v>
      </c>
      <c r="B45" s="1556" t="s">
        <v>1715</v>
      </c>
      <c r="C45" s="1546">
        <v>19610</v>
      </c>
      <c r="D45" s="1546">
        <v>18090</v>
      </c>
      <c r="E45" s="1546">
        <v>17970</v>
      </c>
      <c r="F45" s="1560"/>
      <c r="M45" s="1546" t="s">
        <v>1871</v>
      </c>
      <c r="N45" s="1546" t="s">
        <v>1872</v>
      </c>
      <c r="P45" s="1546" t="s">
        <v>1873</v>
      </c>
    </row>
    <row r="46" spans="1:16" ht="14.25" customHeight="1" thickBot="1">
      <c r="A46" s="1552" t="s">
        <v>1803</v>
      </c>
      <c r="B46" s="1556" t="s">
        <v>1725</v>
      </c>
      <c r="C46" s="1546">
        <v>21660</v>
      </c>
      <c r="D46" s="1546">
        <v>19190</v>
      </c>
      <c r="E46" s="1546">
        <v>19790</v>
      </c>
      <c r="F46" s="1560"/>
      <c r="M46" s="1546" t="s">
        <v>1874</v>
      </c>
      <c r="N46" s="1546" t="s">
        <v>1875</v>
      </c>
      <c r="P46" s="1546" t="s">
        <v>1876</v>
      </c>
    </row>
    <row r="47" spans="1:16" ht="14.25" customHeight="1" thickBot="1">
      <c r="A47" s="1552" t="s">
        <v>1803</v>
      </c>
      <c r="B47" s="1556" t="s">
        <v>1735</v>
      </c>
      <c r="C47" s="1546">
        <v>18220</v>
      </c>
      <c r="D47" s="1546"/>
      <c r="E47" s="1546">
        <v>17220</v>
      </c>
      <c r="F47" s="1560"/>
      <c r="M47" s="1546" t="s">
        <v>1877</v>
      </c>
      <c r="N47" s="1546" t="s">
        <v>1878</v>
      </c>
    </row>
    <row r="48" spans="1:16" ht="14.25" customHeight="1" thickBot="1">
      <c r="A48" s="1552" t="s">
        <v>1803</v>
      </c>
      <c r="B48" s="1557" t="s">
        <v>1744</v>
      </c>
      <c r="C48" s="1558">
        <v>19430</v>
      </c>
      <c r="D48" s="1558"/>
      <c r="E48" s="1558">
        <v>17830</v>
      </c>
      <c r="F48" s="1563"/>
      <c r="M48" s="1546" t="s">
        <v>1879</v>
      </c>
      <c r="N48" s="1546" t="s">
        <v>1880</v>
      </c>
    </row>
    <row r="49" spans="1:14" ht="14.25" customHeight="1" thickBot="1">
      <c r="A49" s="1552" t="s">
        <v>1483</v>
      </c>
      <c r="B49" s="1553" t="s">
        <v>1881</v>
      </c>
      <c r="C49" s="1553">
        <v>17090</v>
      </c>
      <c r="D49" s="1553">
        <v>16950</v>
      </c>
      <c r="E49" s="1553">
        <v>16310</v>
      </c>
      <c r="F49" s="1554">
        <v>4540</v>
      </c>
      <c r="M49" s="1546" t="s">
        <v>1882</v>
      </c>
      <c r="N49" s="1546" t="s">
        <v>1883</v>
      </c>
    </row>
    <row r="50" spans="1:14" ht="14.25" customHeight="1" thickBot="1">
      <c r="A50" s="1552" t="s">
        <v>1483</v>
      </c>
      <c r="B50" s="1546" t="s">
        <v>1551</v>
      </c>
      <c r="C50" s="1546">
        <v>19040</v>
      </c>
      <c r="D50" s="1546">
        <v>16960</v>
      </c>
      <c r="E50" s="1546">
        <v>14800</v>
      </c>
      <c r="F50" s="1560">
        <v>3940</v>
      </c>
    </row>
    <row r="51" spans="1:14" ht="14.25" customHeight="1" thickBot="1">
      <c r="A51" s="1552" t="s">
        <v>1483</v>
      </c>
      <c r="B51" s="1546" t="s">
        <v>1564</v>
      </c>
      <c r="C51" s="1546">
        <v>17040</v>
      </c>
      <c r="D51" s="1546">
        <v>16930</v>
      </c>
      <c r="E51" s="1546">
        <v>15030</v>
      </c>
      <c r="F51" s="1560">
        <v>4120</v>
      </c>
    </row>
    <row r="52" spans="1:14" ht="14.25" customHeight="1" thickBot="1">
      <c r="A52" s="1552" t="s">
        <v>1483</v>
      </c>
      <c r="B52" s="1546" t="s">
        <v>1577</v>
      </c>
      <c r="C52" s="1546">
        <v>17110</v>
      </c>
      <c r="D52" s="1546">
        <v>17750</v>
      </c>
      <c r="E52" s="1546">
        <v>17310</v>
      </c>
      <c r="F52" s="1560">
        <v>3220</v>
      </c>
    </row>
    <row r="53" spans="1:14" ht="14.25" customHeight="1" thickBot="1">
      <c r="A53" s="1552" t="s">
        <v>1483</v>
      </c>
      <c r="B53" s="1546" t="s">
        <v>1589</v>
      </c>
      <c r="C53" s="1546">
        <v>17810</v>
      </c>
      <c r="D53" s="1546">
        <v>17260</v>
      </c>
      <c r="E53" s="1546">
        <v>17090</v>
      </c>
      <c r="F53" s="1560">
        <v>3520</v>
      </c>
    </row>
    <row r="54" spans="1:14" ht="14.25" customHeight="1" thickBot="1">
      <c r="A54" s="1552" t="s">
        <v>1483</v>
      </c>
      <c r="B54" s="1546" t="s">
        <v>1600</v>
      </c>
      <c r="C54" s="1546">
        <v>17410</v>
      </c>
      <c r="D54" s="1546">
        <v>16780</v>
      </c>
      <c r="E54" s="1546">
        <v>16370</v>
      </c>
      <c r="F54" s="1560">
        <v>3410</v>
      </c>
    </row>
    <row r="55" spans="1:14" ht="14.25" customHeight="1" thickBot="1">
      <c r="A55" s="1552" t="s">
        <v>1483</v>
      </c>
      <c r="B55" s="1546" t="s">
        <v>1611</v>
      </c>
      <c r="C55" s="1546">
        <v>16930</v>
      </c>
      <c r="D55" s="1546">
        <v>14720</v>
      </c>
      <c r="E55" s="1546">
        <v>15000</v>
      </c>
      <c r="F55" s="1560">
        <v>3710</v>
      </c>
    </row>
    <row r="56" spans="1:14" ht="14.25" customHeight="1" thickBot="1">
      <c r="A56" s="1552" t="s">
        <v>1483</v>
      </c>
      <c r="B56" s="1546" t="s">
        <v>1622</v>
      </c>
      <c r="C56" s="1546">
        <v>14930</v>
      </c>
      <c r="D56" s="1546">
        <v>15850</v>
      </c>
      <c r="E56" s="1546">
        <v>14320</v>
      </c>
      <c r="F56" s="1560">
        <v>3960</v>
      </c>
    </row>
    <row r="57" spans="1:14" ht="14.25" customHeight="1" thickBot="1">
      <c r="A57" s="1552" t="s">
        <v>1483</v>
      </c>
      <c r="B57" s="1546" t="s">
        <v>1634</v>
      </c>
      <c r="C57" s="1546">
        <v>16160</v>
      </c>
      <c r="D57" s="1546">
        <v>16190</v>
      </c>
      <c r="E57" s="1546">
        <v>15650</v>
      </c>
      <c r="F57" s="1560">
        <v>4200</v>
      </c>
    </row>
    <row r="58" spans="1:14" ht="14.25" customHeight="1" thickBot="1">
      <c r="A58" s="1552" t="s">
        <v>1483</v>
      </c>
      <c r="B58" s="1546" t="s">
        <v>1644</v>
      </c>
      <c r="C58" s="1546">
        <v>16360</v>
      </c>
      <c r="D58" s="1546">
        <v>14050</v>
      </c>
      <c r="E58" s="1546">
        <v>16070</v>
      </c>
      <c r="F58" s="1560">
        <v>3990</v>
      </c>
    </row>
    <row r="59" spans="1:14" ht="14.25" customHeight="1" thickBot="1">
      <c r="A59" s="1552" t="s">
        <v>1483</v>
      </c>
      <c r="B59" s="1546" t="s">
        <v>1654</v>
      </c>
      <c r="C59" s="1546">
        <v>14160</v>
      </c>
      <c r="D59" s="1546">
        <v>16620</v>
      </c>
      <c r="E59" s="1546">
        <v>13940</v>
      </c>
      <c r="F59" s="1560">
        <v>4260</v>
      </c>
    </row>
    <row r="60" spans="1:14" ht="14.25" customHeight="1" thickBot="1">
      <c r="A60" s="1552" t="s">
        <v>1483</v>
      </c>
      <c r="B60" s="1546" t="s">
        <v>1664</v>
      </c>
      <c r="C60" s="1546">
        <v>16750</v>
      </c>
      <c r="D60" s="1546">
        <v>13910</v>
      </c>
      <c r="E60" s="1546">
        <v>16550</v>
      </c>
      <c r="F60" s="1560">
        <v>4550</v>
      </c>
    </row>
    <row r="61" spans="1:14" ht="14.25" customHeight="1" thickBot="1">
      <c r="A61" s="1552" t="s">
        <v>1483</v>
      </c>
      <c r="B61" s="1546" t="s">
        <v>1674</v>
      </c>
      <c r="C61" s="1546">
        <v>14000</v>
      </c>
      <c r="D61" s="1546">
        <v>14550</v>
      </c>
      <c r="E61" s="1546">
        <v>13860</v>
      </c>
      <c r="F61" s="1564"/>
    </row>
    <row r="62" spans="1:14" ht="14.25" customHeight="1" thickBot="1">
      <c r="A62" s="1552" t="s">
        <v>1483</v>
      </c>
      <c r="B62" s="1546" t="s">
        <v>1685</v>
      </c>
      <c r="C62" s="1546">
        <v>14660</v>
      </c>
      <c r="D62" s="1546">
        <v>17450</v>
      </c>
      <c r="E62" s="1546">
        <v>14470</v>
      </c>
      <c r="F62" s="1564"/>
    </row>
    <row r="63" spans="1:14" ht="14.25" customHeight="1" thickBot="1">
      <c r="A63" s="1552" t="s">
        <v>1483</v>
      </c>
      <c r="B63" s="1546" t="s">
        <v>1696</v>
      </c>
      <c r="C63" s="1546">
        <v>17610</v>
      </c>
      <c r="D63" s="1546">
        <v>16500</v>
      </c>
      <c r="E63" s="1546">
        <v>17330</v>
      </c>
      <c r="F63" s="1564"/>
    </row>
    <row r="64" spans="1:14" ht="14.25" customHeight="1" thickBot="1">
      <c r="A64" s="1552" t="s">
        <v>1483</v>
      </c>
      <c r="B64" s="1546" t="s">
        <v>1706</v>
      </c>
      <c r="C64" s="1546">
        <v>16590</v>
      </c>
      <c r="D64" s="1546">
        <v>15130</v>
      </c>
      <c r="E64" s="1546">
        <v>16420</v>
      </c>
      <c r="F64" s="1564"/>
    </row>
    <row r="65" spans="1:6" s="1540" customFormat="1" ht="14.25" customHeight="1" thickBot="1">
      <c r="A65" s="1552" t="s">
        <v>1483</v>
      </c>
      <c r="B65" s="1546" t="s">
        <v>1716</v>
      </c>
      <c r="C65" s="1546">
        <v>15220</v>
      </c>
      <c r="D65" s="1546">
        <v>14660</v>
      </c>
      <c r="E65" s="1546">
        <v>15060</v>
      </c>
      <c r="F65" s="1560"/>
    </row>
    <row r="66" spans="1:6" s="1540" customFormat="1" ht="14.25" customHeight="1" thickBot="1">
      <c r="A66" s="1552" t="s">
        <v>1483</v>
      </c>
      <c r="B66" s="1546" t="s">
        <v>1726</v>
      </c>
      <c r="C66" s="1546">
        <v>14720</v>
      </c>
      <c r="D66" s="1546">
        <v>15970</v>
      </c>
      <c r="E66" s="1546">
        <v>14610</v>
      </c>
      <c r="F66" s="1560"/>
    </row>
    <row r="67" spans="1:6" s="1540" customFormat="1" ht="14.25" customHeight="1" thickBot="1">
      <c r="A67" s="1552" t="s">
        <v>1483</v>
      </c>
      <c r="B67" s="1546" t="s">
        <v>1736</v>
      </c>
      <c r="C67" s="1546">
        <v>16080</v>
      </c>
      <c r="D67" s="1546">
        <v>14840</v>
      </c>
      <c r="E67" s="1546">
        <v>15630</v>
      </c>
      <c r="F67" s="1560"/>
    </row>
    <row r="68" spans="1:6" s="1540" customFormat="1" ht="14.25" customHeight="1" thickBot="1">
      <c r="A68" s="1552" t="s">
        <v>1483</v>
      </c>
      <c r="B68" s="1546" t="s">
        <v>1745</v>
      </c>
      <c r="C68" s="1546">
        <v>14940</v>
      </c>
      <c r="D68" s="1546">
        <v>18000</v>
      </c>
      <c r="E68" s="1546">
        <v>14040</v>
      </c>
      <c r="F68" s="1560"/>
    </row>
    <row r="69" spans="1:6" s="1540" customFormat="1" ht="14.25" customHeight="1" thickBot="1">
      <c r="A69" s="1552" t="s">
        <v>1483</v>
      </c>
      <c r="B69" s="1546" t="s">
        <v>1754</v>
      </c>
      <c r="C69" s="1546">
        <v>18810</v>
      </c>
      <c r="D69" s="1546">
        <v>15100</v>
      </c>
      <c r="E69" s="1546">
        <v>14710</v>
      </c>
      <c r="F69" s="1560"/>
    </row>
    <row r="70" spans="1:6" s="1540" customFormat="1" ht="14.25" customHeight="1" thickBot="1">
      <c r="A70" s="1552" t="s">
        <v>1483</v>
      </c>
      <c r="B70" s="1546" t="s">
        <v>1762</v>
      </c>
      <c r="C70" s="1546">
        <v>18270</v>
      </c>
      <c r="D70" s="1546"/>
      <c r="E70" s="1546"/>
      <c r="F70" s="1560"/>
    </row>
    <row r="71" spans="1:6" s="1540" customFormat="1" ht="14.25" customHeight="1" thickBot="1">
      <c r="A71" s="1552" t="s">
        <v>1483</v>
      </c>
      <c r="B71" s="1546" t="s">
        <v>1769</v>
      </c>
      <c r="C71" s="1546">
        <v>15230</v>
      </c>
      <c r="D71" s="1546"/>
      <c r="E71" s="1546"/>
      <c r="F71" s="1560"/>
    </row>
    <row r="72" spans="1:6" s="1540" customFormat="1" ht="14.25" customHeight="1" thickBot="1">
      <c r="A72" s="1552" t="s">
        <v>1483</v>
      </c>
      <c r="B72" s="1546" t="s">
        <v>1776</v>
      </c>
      <c r="C72" s="1546"/>
      <c r="D72" s="1546"/>
      <c r="E72" s="1546"/>
      <c r="F72" s="1560">
        <v>4120</v>
      </c>
    </row>
    <row r="73" spans="1:6" s="1540" customFormat="1" ht="14.25" customHeight="1" thickBot="1">
      <c r="A73" s="1552" t="s">
        <v>1483</v>
      </c>
      <c r="B73" s="1546" t="s">
        <v>1783</v>
      </c>
      <c r="C73" s="1546"/>
      <c r="D73" s="1546"/>
      <c r="E73" s="1546"/>
      <c r="F73" s="1560">
        <v>3930</v>
      </c>
    </row>
    <row r="74" spans="1:6" s="1540" customFormat="1" ht="14.25" customHeight="1" thickBot="1">
      <c r="A74" s="1552" t="s">
        <v>1483</v>
      </c>
      <c r="B74" s="1546" t="s">
        <v>1790</v>
      </c>
      <c r="C74" s="1546"/>
      <c r="D74" s="1546"/>
      <c r="E74" s="1546"/>
      <c r="F74" s="1560">
        <v>4060</v>
      </c>
    </row>
    <row r="75" spans="1:6" s="1540" customFormat="1" ht="14.25" customHeight="1" thickBot="1">
      <c r="A75" s="1552" t="s">
        <v>1483</v>
      </c>
      <c r="B75" s="1558" t="s">
        <v>1797</v>
      </c>
      <c r="C75" s="1558"/>
      <c r="D75" s="1558"/>
      <c r="E75" s="1558"/>
      <c r="F75" s="1563">
        <v>3750</v>
      </c>
    </row>
    <row r="76" spans="1:6" s="1540" customFormat="1" ht="14.25" customHeight="1" thickBot="1">
      <c r="A76" s="1552" t="s">
        <v>1884</v>
      </c>
      <c r="B76" s="1553" t="s">
        <v>1885</v>
      </c>
      <c r="C76" s="1553">
        <v>14690</v>
      </c>
      <c r="D76" s="1553">
        <v>14640</v>
      </c>
      <c r="E76" s="1553">
        <v>14590</v>
      </c>
      <c r="F76" s="1554">
        <v>3060</v>
      </c>
    </row>
    <row r="77" spans="1:6" s="1540" customFormat="1" ht="14.25" customHeight="1" thickBot="1">
      <c r="A77" s="1552" t="s">
        <v>1884</v>
      </c>
      <c r="B77" s="1546" t="s">
        <v>1552</v>
      </c>
      <c r="C77" s="1546">
        <v>12550</v>
      </c>
      <c r="D77" s="1546">
        <v>12480</v>
      </c>
      <c r="E77" s="1546">
        <v>12450</v>
      </c>
      <c r="F77" s="1560">
        <v>2590</v>
      </c>
    </row>
    <row r="78" spans="1:6" s="1540" customFormat="1" ht="14.25" customHeight="1" thickBot="1">
      <c r="A78" s="1552" t="s">
        <v>1884</v>
      </c>
      <c r="B78" s="1546" t="s">
        <v>1565</v>
      </c>
      <c r="C78" s="1546">
        <v>14360</v>
      </c>
      <c r="D78" s="1546">
        <v>14320</v>
      </c>
      <c r="E78" s="1546">
        <v>12510</v>
      </c>
      <c r="F78" s="1560">
        <v>2700</v>
      </c>
    </row>
    <row r="79" spans="1:6" s="1540" customFormat="1" ht="14.25" customHeight="1" thickBot="1">
      <c r="A79" s="1552" t="s">
        <v>1884</v>
      </c>
      <c r="B79" s="1546" t="s">
        <v>1578</v>
      </c>
      <c r="C79" s="1546">
        <v>12590</v>
      </c>
      <c r="D79" s="1546">
        <v>12540</v>
      </c>
      <c r="E79" s="1546">
        <v>12350</v>
      </c>
      <c r="F79" s="1560">
        <v>2740</v>
      </c>
    </row>
    <row r="80" spans="1:6" s="1540" customFormat="1" ht="14.25" customHeight="1" thickBot="1">
      <c r="A80" s="1552" t="s">
        <v>1884</v>
      </c>
      <c r="B80" s="1546" t="s">
        <v>1590</v>
      </c>
      <c r="C80" s="1546">
        <v>12450</v>
      </c>
      <c r="D80" s="1546">
        <v>12370</v>
      </c>
      <c r="E80" s="1546">
        <v>10790</v>
      </c>
      <c r="F80" s="1560">
        <v>2290</v>
      </c>
    </row>
    <row r="81" spans="1:6" s="1540" customFormat="1" ht="14.25" customHeight="1" thickBot="1">
      <c r="A81" s="1552" t="s">
        <v>1884</v>
      </c>
      <c r="B81" s="1546" t="s">
        <v>1601</v>
      </c>
      <c r="C81" s="1546">
        <v>14210</v>
      </c>
      <c r="D81" s="1546">
        <v>14150</v>
      </c>
      <c r="E81" s="1546">
        <v>12730</v>
      </c>
      <c r="F81" s="1560">
        <v>2240</v>
      </c>
    </row>
    <row r="82" spans="1:6" s="1540" customFormat="1" ht="14.25" customHeight="1" thickBot="1">
      <c r="A82" s="1552" t="s">
        <v>1884</v>
      </c>
      <c r="B82" s="1546" t="s">
        <v>1612</v>
      </c>
      <c r="C82" s="1546">
        <v>10860</v>
      </c>
      <c r="D82" s="1546">
        <v>10820</v>
      </c>
      <c r="E82" s="1546">
        <v>14720</v>
      </c>
      <c r="F82" s="1560">
        <v>2490</v>
      </c>
    </row>
    <row r="83" spans="1:6" s="1540" customFormat="1" ht="14.25" customHeight="1" thickBot="1">
      <c r="A83" s="1552" t="s">
        <v>1884</v>
      </c>
      <c r="B83" s="1546" t="s">
        <v>1623</v>
      </c>
      <c r="C83" s="1546">
        <v>12810</v>
      </c>
      <c r="D83" s="1546">
        <v>12760</v>
      </c>
      <c r="E83" s="1546">
        <v>14830</v>
      </c>
      <c r="F83" s="1560">
        <v>2450</v>
      </c>
    </row>
    <row r="84" spans="1:6" s="1540" customFormat="1" ht="14.25" customHeight="1" thickBot="1">
      <c r="A84" s="1552" t="s">
        <v>1884</v>
      </c>
      <c r="B84" s="1546" t="s">
        <v>1635</v>
      </c>
      <c r="C84" s="1546">
        <v>14950</v>
      </c>
      <c r="D84" s="1546">
        <v>14810</v>
      </c>
      <c r="E84" s="1546">
        <v>12590</v>
      </c>
      <c r="F84" s="1560">
        <v>2540</v>
      </c>
    </row>
    <row r="85" spans="1:6" s="1540" customFormat="1" ht="14.25" customHeight="1" thickBot="1">
      <c r="A85" s="1552" t="s">
        <v>1884</v>
      </c>
      <c r="B85" s="1546" t="s">
        <v>1645</v>
      </c>
      <c r="C85" s="1546">
        <v>14960</v>
      </c>
      <c r="D85" s="1546">
        <v>14890</v>
      </c>
      <c r="E85" s="1546">
        <v>12840</v>
      </c>
      <c r="F85" s="1560">
        <v>2840</v>
      </c>
    </row>
    <row r="86" spans="1:6" s="1540" customFormat="1" ht="14.25" customHeight="1" thickBot="1">
      <c r="A86" s="1552" t="s">
        <v>1884</v>
      </c>
      <c r="B86" s="1546" t="s">
        <v>1655</v>
      </c>
      <c r="C86" s="1546">
        <v>12730</v>
      </c>
      <c r="D86" s="1546">
        <v>12660</v>
      </c>
      <c r="E86" s="1546">
        <v>13310</v>
      </c>
      <c r="F86" s="1560">
        <v>3140</v>
      </c>
    </row>
    <row r="87" spans="1:6" s="1540" customFormat="1" ht="14.25" customHeight="1" thickBot="1">
      <c r="A87" s="1552" t="s">
        <v>1884</v>
      </c>
      <c r="B87" s="1546" t="s">
        <v>1665</v>
      </c>
      <c r="C87" s="1546">
        <v>12940</v>
      </c>
      <c r="D87" s="1546">
        <v>12890</v>
      </c>
      <c r="E87" s="1546">
        <v>11580</v>
      </c>
      <c r="F87" s="1564"/>
    </row>
    <row r="88" spans="1:6" s="1540" customFormat="1" ht="14.25" customHeight="1" thickBot="1">
      <c r="A88" s="1552" t="s">
        <v>1884</v>
      </c>
      <c r="B88" s="1546" t="s">
        <v>1675</v>
      </c>
      <c r="C88" s="1546">
        <v>13430</v>
      </c>
      <c r="D88" s="1546">
        <v>13360</v>
      </c>
      <c r="E88" s="1546">
        <v>12790</v>
      </c>
      <c r="F88" s="1564"/>
    </row>
    <row r="89" spans="1:6" s="1540" customFormat="1" ht="14.25" customHeight="1" thickBot="1">
      <c r="A89" s="1552" t="s">
        <v>1884</v>
      </c>
      <c r="B89" s="1546" t="s">
        <v>1686</v>
      </c>
      <c r="C89" s="1546">
        <v>11680</v>
      </c>
      <c r="D89" s="1546">
        <v>11630</v>
      </c>
      <c r="E89" s="1546">
        <v>11320</v>
      </c>
      <c r="F89" s="1564"/>
    </row>
    <row r="90" spans="1:6" s="1540" customFormat="1" ht="14.25" customHeight="1" thickBot="1">
      <c r="A90" s="1552" t="s">
        <v>1884</v>
      </c>
      <c r="B90" s="1546" t="s">
        <v>1697</v>
      </c>
      <c r="C90" s="1546">
        <v>12890</v>
      </c>
      <c r="D90" s="1546">
        <v>12820</v>
      </c>
      <c r="E90" s="1546">
        <v>12710</v>
      </c>
      <c r="F90" s="1564"/>
    </row>
    <row r="91" spans="1:6" s="1540" customFormat="1" ht="14.25" customHeight="1" thickBot="1">
      <c r="A91" s="1552" t="s">
        <v>1884</v>
      </c>
      <c r="B91" s="1546" t="s">
        <v>1707</v>
      </c>
      <c r="C91" s="1546">
        <v>11410</v>
      </c>
      <c r="D91" s="1546">
        <v>11360</v>
      </c>
      <c r="E91" s="1546">
        <v>12670</v>
      </c>
      <c r="F91" s="1564"/>
    </row>
    <row r="92" spans="1:6" s="1540" customFormat="1" ht="14.25" customHeight="1" thickBot="1">
      <c r="A92" s="1552" t="s">
        <v>1884</v>
      </c>
      <c r="B92" s="1546" t="s">
        <v>1717</v>
      </c>
      <c r="C92" s="1546">
        <v>12770</v>
      </c>
      <c r="D92" s="1546">
        <v>12740</v>
      </c>
      <c r="E92" s="1546">
        <v>11970</v>
      </c>
      <c r="F92" s="1564"/>
    </row>
    <row r="93" spans="1:6" s="1540" customFormat="1" ht="14.25" customHeight="1" thickBot="1">
      <c r="A93" s="1552" t="s">
        <v>1884</v>
      </c>
      <c r="B93" s="1546" t="s">
        <v>1727</v>
      </c>
      <c r="C93" s="1546">
        <v>12740</v>
      </c>
      <c r="D93" s="1546">
        <v>12700</v>
      </c>
      <c r="E93" s="1546">
        <v>12540</v>
      </c>
      <c r="F93" s="1564"/>
    </row>
    <row r="94" spans="1:6" s="1540" customFormat="1" ht="14.25" customHeight="1" thickBot="1">
      <c r="A94" s="1552" t="s">
        <v>1884</v>
      </c>
      <c r="B94" s="1546" t="s">
        <v>1737</v>
      </c>
      <c r="C94" s="1546">
        <v>12020</v>
      </c>
      <c r="D94" s="1546">
        <v>11990</v>
      </c>
      <c r="E94" s="1546">
        <v>13110</v>
      </c>
      <c r="F94" s="1564"/>
    </row>
    <row r="95" spans="1:6" s="1540" customFormat="1" ht="14.25" customHeight="1" thickBot="1">
      <c r="A95" s="1552" t="s">
        <v>1884</v>
      </c>
      <c r="B95" s="1546" t="s">
        <v>1746</v>
      </c>
      <c r="C95" s="1546">
        <v>12620</v>
      </c>
      <c r="D95" s="1546">
        <v>12580</v>
      </c>
      <c r="E95" s="1546">
        <v>13160</v>
      </c>
      <c r="F95" s="1560"/>
    </row>
    <row r="96" spans="1:6" s="1540" customFormat="1" ht="14.25" customHeight="1" thickBot="1">
      <c r="A96" s="1552" t="s">
        <v>1884</v>
      </c>
      <c r="B96" s="1546" t="s">
        <v>1755</v>
      </c>
      <c r="C96" s="1546">
        <v>13200</v>
      </c>
      <c r="D96" s="1546">
        <v>13150</v>
      </c>
      <c r="E96" s="1546">
        <v>12900</v>
      </c>
      <c r="F96" s="1560"/>
    </row>
    <row r="97" spans="1:6" s="1540" customFormat="1" ht="14.25" customHeight="1" thickBot="1">
      <c r="A97" s="1552" t="s">
        <v>1884</v>
      </c>
      <c r="B97" s="1546" t="s">
        <v>1763</v>
      </c>
      <c r="C97" s="1546">
        <v>13270</v>
      </c>
      <c r="D97" s="1546">
        <v>13210</v>
      </c>
      <c r="E97" s="1546">
        <v>11080</v>
      </c>
      <c r="F97" s="1560"/>
    </row>
    <row r="98" spans="1:6" s="1540" customFormat="1" ht="14.25" customHeight="1" thickBot="1">
      <c r="A98" s="1552" t="s">
        <v>1884</v>
      </c>
      <c r="B98" s="1546" t="s">
        <v>1770</v>
      </c>
      <c r="C98" s="1546">
        <v>13010</v>
      </c>
      <c r="D98" s="1546">
        <v>12930</v>
      </c>
      <c r="E98" s="1546">
        <v>12840</v>
      </c>
      <c r="F98" s="1560"/>
    </row>
    <row r="99" spans="1:6" s="1540" customFormat="1" ht="14.25" customHeight="1" thickBot="1">
      <c r="A99" s="1552" t="s">
        <v>1884</v>
      </c>
      <c r="B99" s="1546" t="s">
        <v>1777</v>
      </c>
      <c r="C99" s="1546">
        <v>11190</v>
      </c>
      <c r="D99" s="1546">
        <v>11130</v>
      </c>
      <c r="E99" s="1546"/>
      <c r="F99" s="1560"/>
    </row>
    <row r="100" spans="1:6" s="1540" customFormat="1" ht="14.25" customHeight="1" thickBot="1">
      <c r="A100" s="1552" t="s">
        <v>1884</v>
      </c>
      <c r="B100" s="1546" t="s">
        <v>1784</v>
      </c>
      <c r="C100" s="1546">
        <v>14280</v>
      </c>
      <c r="D100" s="1546">
        <v>14180</v>
      </c>
      <c r="E100" s="1546"/>
      <c r="F100" s="1560"/>
    </row>
    <row r="101" spans="1:6" s="1540" customFormat="1" ht="14.25" customHeight="1" thickBot="1">
      <c r="A101" s="1552" t="s">
        <v>1884</v>
      </c>
      <c r="B101" s="1546" t="s">
        <v>1791</v>
      </c>
      <c r="C101" s="1546">
        <v>12960</v>
      </c>
      <c r="D101" s="1546">
        <v>12890</v>
      </c>
      <c r="E101" s="1546"/>
      <c r="F101" s="1560"/>
    </row>
    <row r="102" spans="1:6" s="1540" customFormat="1" ht="14.25" customHeight="1" thickBot="1">
      <c r="A102" s="1552" t="s">
        <v>1884</v>
      </c>
      <c r="B102" s="1546" t="s">
        <v>1798</v>
      </c>
      <c r="C102" s="1546"/>
      <c r="D102" s="1546"/>
      <c r="E102" s="1546"/>
      <c r="F102" s="1560">
        <v>3100</v>
      </c>
    </row>
    <row r="103" spans="1:6" s="1540" customFormat="1" ht="14.25" customHeight="1" thickBot="1">
      <c r="A103" s="1552" t="s">
        <v>1884</v>
      </c>
      <c r="B103" s="1546" t="s">
        <v>1805</v>
      </c>
      <c r="C103" s="1546"/>
      <c r="D103" s="1546"/>
      <c r="E103" s="1546"/>
      <c r="F103" s="1560">
        <v>2320</v>
      </c>
    </row>
    <row r="104" spans="1:6" s="1540" customFormat="1" ht="14.25" customHeight="1" thickBot="1">
      <c r="A104" s="1552" t="s">
        <v>1884</v>
      </c>
      <c r="B104" s="1546" t="s">
        <v>1810</v>
      </c>
      <c r="C104" s="1546"/>
      <c r="D104" s="1546"/>
      <c r="E104" s="1546"/>
      <c r="F104" s="1560">
        <v>2320</v>
      </c>
    </row>
    <row r="105" spans="1:6" s="1540" customFormat="1" ht="14.25" customHeight="1" thickBot="1">
      <c r="A105" s="1552" t="s">
        <v>1884</v>
      </c>
      <c r="B105" s="1546" t="s">
        <v>1814</v>
      </c>
      <c r="C105" s="1546"/>
      <c r="D105" s="1546"/>
      <c r="E105" s="1546"/>
      <c r="F105" s="1560">
        <v>2320</v>
      </c>
    </row>
    <row r="106" spans="1:6" s="1540" customFormat="1" ht="14.25" customHeight="1" thickBot="1">
      <c r="A106" s="1552" t="s">
        <v>1884</v>
      </c>
      <c r="B106" s="1546" t="s">
        <v>1819</v>
      </c>
      <c r="C106" s="1546"/>
      <c r="D106" s="1546"/>
      <c r="E106" s="1546"/>
      <c r="F106" s="1560">
        <v>2320</v>
      </c>
    </row>
    <row r="107" spans="1:6" s="1540" customFormat="1" ht="14.25" customHeight="1" thickBot="1">
      <c r="A107" s="1552" t="s">
        <v>1884</v>
      </c>
      <c r="B107" s="1546" t="s">
        <v>1824</v>
      </c>
      <c r="C107" s="1546"/>
      <c r="D107" s="1546"/>
      <c r="E107" s="1546"/>
      <c r="F107" s="1560">
        <v>2280</v>
      </c>
    </row>
    <row r="108" spans="1:6" s="1540" customFormat="1" ht="14.25" customHeight="1" thickBot="1">
      <c r="A108" s="1552" t="s">
        <v>1884</v>
      </c>
      <c r="B108" s="1546" t="s">
        <v>1829</v>
      </c>
      <c r="C108" s="1546"/>
      <c r="D108" s="1546"/>
      <c r="E108" s="1546"/>
      <c r="F108" s="1560">
        <v>2280</v>
      </c>
    </row>
    <row r="109" spans="1:6" s="1540" customFormat="1" ht="14.25" customHeight="1" thickBot="1">
      <c r="A109" s="1552" t="s">
        <v>1884</v>
      </c>
      <c r="B109" s="1558" t="s">
        <v>1834</v>
      </c>
      <c r="C109" s="1558"/>
      <c r="D109" s="1558"/>
      <c r="E109" s="1558"/>
      <c r="F109" s="1563">
        <v>2280</v>
      </c>
    </row>
    <row r="110" spans="1:6" s="1540" customFormat="1" ht="14.25" customHeight="1" thickBot="1">
      <c r="A110" s="1552" t="s">
        <v>367</v>
      </c>
      <c r="B110" s="1553" t="s">
        <v>1886</v>
      </c>
      <c r="C110" s="1553">
        <v>10520</v>
      </c>
      <c r="D110" s="1553">
        <v>10490</v>
      </c>
      <c r="E110" s="1553">
        <v>10760</v>
      </c>
      <c r="F110" s="1554">
        <v>2160</v>
      </c>
    </row>
    <row r="111" spans="1:6" s="1540" customFormat="1" ht="14.25" customHeight="1" thickBot="1">
      <c r="A111" s="1552" t="s">
        <v>367</v>
      </c>
      <c r="B111" s="1546" t="s">
        <v>1553</v>
      </c>
      <c r="C111" s="1546">
        <v>10090</v>
      </c>
      <c r="D111" s="1546">
        <v>10060</v>
      </c>
      <c r="E111" s="1546">
        <v>10300</v>
      </c>
      <c r="F111" s="1560">
        <v>2010</v>
      </c>
    </row>
    <row r="112" spans="1:6" s="1540" customFormat="1" ht="14.25" customHeight="1" thickBot="1">
      <c r="A112" s="1552" t="s">
        <v>367</v>
      </c>
      <c r="B112" s="1546" t="s">
        <v>1566</v>
      </c>
      <c r="C112" s="1546">
        <v>9910</v>
      </c>
      <c r="D112" s="1546">
        <v>9850</v>
      </c>
      <c r="E112" s="1546">
        <v>9960</v>
      </c>
      <c r="F112" s="1560">
        <v>2090</v>
      </c>
    </row>
    <row r="113" spans="1:6" s="1540" customFormat="1" ht="14.25" customHeight="1" thickBot="1">
      <c r="A113" s="1552" t="s">
        <v>367</v>
      </c>
      <c r="B113" s="1546" t="s">
        <v>1579</v>
      </c>
      <c r="C113" s="1546">
        <v>11430</v>
      </c>
      <c r="D113" s="1546">
        <v>11400</v>
      </c>
      <c r="E113" s="1546">
        <v>11710</v>
      </c>
      <c r="F113" s="1560">
        <v>2050</v>
      </c>
    </row>
    <row r="114" spans="1:6" s="1540" customFormat="1" ht="14.25" customHeight="1" thickBot="1">
      <c r="A114" s="1552" t="s">
        <v>367</v>
      </c>
      <c r="B114" s="1546" t="s">
        <v>1591</v>
      </c>
      <c r="C114" s="1546">
        <v>11390</v>
      </c>
      <c r="D114" s="1546">
        <v>11350</v>
      </c>
      <c r="E114" s="1546">
        <v>11640</v>
      </c>
      <c r="F114" s="1560">
        <v>1620</v>
      </c>
    </row>
    <row r="115" spans="1:6" s="1540" customFormat="1" ht="14.25" customHeight="1" thickBot="1">
      <c r="A115" s="1552" t="s">
        <v>367</v>
      </c>
      <c r="B115" s="1546" t="s">
        <v>1602</v>
      </c>
      <c r="C115" s="1546">
        <v>9930</v>
      </c>
      <c r="D115" s="1546">
        <v>9900</v>
      </c>
      <c r="E115" s="1546">
        <v>10160</v>
      </c>
      <c r="F115" s="1560">
        <v>1580</v>
      </c>
    </row>
    <row r="116" spans="1:6" s="1540" customFormat="1" ht="14.25" customHeight="1" thickBot="1">
      <c r="A116" s="1552" t="s">
        <v>367</v>
      </c>
      <c r="B116" s="1546" t="s">
        <v>1613</v>
      </c>
      <c r="C116" s="1546">
        <v>9150</v>
      </c>
      <c r="D116" s="1546">
        <v>9120</v>
      </c>
      <c r="E116" s="1546">
        <v>9380</v>
      </c>
      <c r="F116" s="1560">
        <v>1750</v>
      </c>
    </row>
    <row r="117" spans="1:6" s="1540" customFormat="1" ht="14.25" customHeight="1" thickBot="1">
      <c r="A117" s="1552" t="s">
        <v>367</v>
      </c>
      <c r="B117" s="1546" t="s">
        <v>1624</v>
      </c>
      <c r="C117" s="1546">
        <v>10680</v>
      </c>
      <c r="D117" s="1546">
        <v>10650</v>
      </c>
      <c r="E117" s="1546">
        <v>10970</v>
      </c>
      <c r="F117" s="1560">
        <v>1730</v>
      </c>
    </row>
    <row r="118" spans="1:6" s="1540" customFormat="1" ht="14.25" customHeight="1" thickBot="1">
      <c r="A118" s="1552" t="s">
        <v>367</v>
      </c>
      <c r="B118" s="1546" t="s">
        <v>1636</v>
      </c>
      <c r="C118" s="1546">
        <v>10080</v>
      </c>
      <c r="D118" s="1546">
        <v>10050</v>
      </c>
      <c r="E118" s="1546">
        <v>10350</v>
      </c>
      <c r="F118" s="1560">
        <v>1920</v>
      </c>
    </row>
    <row r="119" spans="1:6" s="1540" customFormat="1" ht="14.25" customHeight="1" thickBot="1">
      <c r="A119" s="1552" t="s">
        <v>367</v>
      </c>
      <c r="B119" s="1546" t="s">
        <v>1646</v>
      </c>
      <c r="C119" s="1546">
        <v>9450</v>
      </c>
      <c r="D119" s="1546">
        <v>9410</v>
      </c>
      <c r="E119" s="1546">
        <v>9680</v>
      </c>
      <c r="F119" s="1560">
        <v>1880</v>
      </c>
    </row>
    <row r="120" spans="1:6" s="1540" customFormat="1" ht="14.25" customHeight="1" thickBot="1">
      <c r="A120" s="1552" t="s">
        <v>367</v>
      </c>
      <c r="B120" s="1546" t="s">
        <v>1656</v>
      </c>
      <c r="C120" s="1546">
        <v>8730</v>
      </c>
      <c r="D120" s="1546">
        <v>8700</v>
      </c>
      <c r="E120" s="1546">
        <v>8950</v>
      </c>
      <c r="F120" s="1560">
        <v>1830</v>
      </c>
    </row>
    <row r="121" spans="1:6" s="1540" customFormat="1" ht="14.25" customHeight="1" thickBot="1">
      <c r="A121" s="1552" t="s">
        <v>367</v>
      </c>
      <c r="B121" s="1546" t="s">
        <v>1666</v>
      </c>
      <c r="C121" s="1546">
        <v>10070</v>
      </c>
      <c r="D121" s="1546">
        <v>10040</v>
      </c>
      <c r="E121" s="1546">
        <v>10270</v>
      </c>
      <c r="F121" s="1560">
        <v>1960</v>
      </c>
    </row>
    <row r="122" spans="1:6" s="1540" customFormat="1" ht="14.25" customHeight="1" thickBot="1">
      <c r="A122" s="1552" t="s">
        <v>367</v>
      </c>
      <c r="B122" s="1546" t="s">
        <v>1676</v>
      </c>
      <c r="C122" s="1546">
        <v>10500</v>
      </c>
      <c r="D122" s="1546">
        <v>10470</v>
      </c>
      <c r="E122" s="1546">
        <v>10780</v>
      </c>
      <c r="F122" s="1560">
        <v>2180</v>
      </c>
    </row>
    <row r="123" spans="1:6" s="1540" customFormat="1" ht="14.25" customHeight="1" thickBot="1">
      <c r="A123" s="1552" t="s">
        <v>367</v>
      </c>
      <c r="B123" s="1546" t="s">
        <v>1687</v>
      </c>
      <c r="C123" s="1546">
        <v>10390</v>
      </c>
      <c r="D123" s="1546">
        <v>10360</v>
      </c>
      <c r="E123" s="1546">
        <v>10660</v>
      </c>
      <c r="F123" s="1560">
        <v>2040</v>
      </c>
    </row>
    <row r="124" spans="1:6" s="1540" customFormat="1" ht="14.25" customHeight="1" thickBot="1">
      <c r="A124" s="1552" t="s">
        <v>367</v>
      </c>
      <c r="B124" s="1546" t="s">
        <v>1698</v>
      </c>
      <c r="C124" s="1546">
        <v>10390</v>
      </c>
      <c r="D124" s="1546">
        <v>10360</v>
      </c>
      <c r="E124" s="1546">
        <v>10680</v>
      </c>
      <c r="F124" s="1564"/>
    </row>
    <row r="125" spans="1:6" s="1540" customFormat="1" ht="14.25" customHeight="1" thickBot="1">
      <c r="A125" s="1552" t="s">
        <v>367</v>
      </c>
      <c r="B125" s="1546" t="s">
        <v>1708</v>
      </c>
      <c r="C125" s="1546">
        <v>10440</v>
      </c>
      <c r="D125" s="1546">
        <v>10410</v>
      </c>
      <c r="E125" s="1546">
        <v>10710</v>
      </c>
      <c r="F125" s="1564"/>
    </row>
    <row r="126" spans="1:6" s="1540" customFormat="1" ht="14.25" customHeight="1" thickBot="1">
      <c r="A126" s="1552" t="s">
        <v>367</v>
      </c>
      <c r="B126" s="1546" t="s">
        <v>1718</v>
      </c>
      <c r="C126" s="1546">
        <v>10780</v>
      </c>
      <c r="D126" s="1546">
        <v>10750</v>
      </c>
      <c r="E126" s="1546">
        <v>11080</v>
      </c>
      <c r="F126" s="1564"/>
    </row>
    <row r="127" spans="1:6" s="1540" customFormat="1" ht="14.25" customHeight="1" thickBot="1">
      <c r="A127" s="1552" t="s">
        <v>367</v>
      </c>
      <c r="B127" s="1546" t="s">
        <v>1728</v>
      </c>
      <c r="C127" s="1546">
        <v>10100</v>
      </c>
      <c r="D127" s="1546">
        <v>10070</v>
      </c>
      <c r="E127" s="1546">
        <v>10350</v>
      </c>
      <c r="F127" s="1564"/>
    </row>
    <row r="128" spans="1:6" s="1540" customFormat="1" ht="14.25" customHeight="1" thickBot="1">
      <c r="A128" s="1552" t="s">
        <v>367</v>
      </c>
      <c r="B128" s="1546" t="s">
        <v>1738</v>
      </c>
      <c r="C128" s="1546">
        <v>9200</v>
      </c>
      <c r="D128" s="1546">
        <v>9160</v>
      </c>
      <c r="E128" s="1546">
        <v>9660</v>
      </c>
      <c r="F128" s="1564"/>
    </row>
    <row r="129" spans="1:6" s="1540" customFormat="1" ht="14.25" customHeight="1" thickBot="1">
      <c r="A129" s="1552" t="s">
        <v>367</v>
      </c>
      <c r="B129" s="1546" t="s">
        <v>1747</v>
      </c>
      <c r="C129" s="1546">
        <v>10340</v>
      </c>
      <c r="D129" s="1546">
        <v>10310</v>
      </c>
      <c r="E129" s="1546">
        <v>10580</v>
      </c>
      <c r="F129" s="1564"/>
    </row>
    <row r="130" spans="1:6" s="1540" customFormat="1" ht="14.25" customHeight="1" thickBot="1">
      <c r="A130" s="1552" t="s">
        <v>367</v>
      </c>
      <c r="B130" s="1546" t="s">
        <v>1756</v>
      </c>
      <c r="C130" s="1546">
        <v>9680</v>
      </c>
      <c r="D130" s="1546">
        <v>9660</v>
      </c>
      <c r="E130" s="1546">
        <v>9950</v>
      </c>
      <c r="F130" s="1564"/>
    </row>
    <row r="131" spans="1:6" s="1540" customFormat="1" ht="14.25" customHeight="1" thickBot="1">
      <c r="A131" s="1552" t="s">
        <v>367</v>
      </c>
      <c r="B131" s="1546" t="s">
        <v>1764</v>
      </c>
      <c r="C131" s="1546">
        <v>9540</v>
      </c>
      <c r="D131" s="1546">
        <v>9510</v>
      </c>
      <c r="E131" s="1546">
        <v>9790</v>
      </c>
      <c r="F131" s="1564"/>
    </row>
    <row r="132" spans="1:6" s="1540" customFormat="1" ht="14.25" customHeight="1" thickBot="1">
      <c r="A132" s="1552" t="s">
        <v>367</v>
      </c>
      <c r="B132" s="1546" t="s">
        <v>1771</v>
      </c>
      <c r="C132" s="1546">
        <v>9320</v>
      </c>
      <c r="D132" s="1546">
        <v>9290</v>
      </c>
      <c r="E132" s="1546">
        <v>9570</v>
      </c>
      <c r="F132" s="1564"/>
    </row>
    <row r="133" spans="1:6" s="1540" customFormat="1" ht="14.25" customHeight="1" thickBot="1">
      <c r="A133" s="1552" t="s">
        <v>367</v>
      </c>
      <c r="B133" s="1546" t="s">
        <v>1778</v>
      </c>
      <c r="C133" s="1546">
        <v>10310</v>
      </c>
      <c r="D133" s="1546">
        <v>10280</v>
      </c>
      <c r="E133" s="1546">
        <v>10530</v>
      </c>
      <c r="F133" s="1564"/>
    </row>
    <row r="134" spans="1:6" s="1540" customFormat="1" ht="14.25" customHeight="1" thickBot="1">
      <c r="A134" s="1552" t="s">
        <v>367</v>
      </c>
      <c r="B134" s="1546" t="s">
        <v>1785</v>
      </c>
      <c r="C134" s="1546">
        <v>10370</v>
      </c>
      <c r="D134" s="1546">
        <v>10310</v>
      </c>
      <c r="E134" s="1546">
        <v>10240</v>
      </c>
      <c r="F134" s="1560">
        <v>2060</v>
      </c>
    </row>
    <row r="135" spans="1:6" s="1540" customFormat="1" ht="14.25" customHeight="1" thickBot="1">
      <c r="A135" s="1552" t="s">
        <v>367</v>
      </c>
      <c r="B135" s="1546" t="s">
        <v>1792</v>
      </c>
      <c r="C135" s="1546">
        <v>9300</v>
      </c>
      <c r="D135" s="1546">
        <v>9270</v>
      </c>
      <c r="E135" s="1546">
        <v>9350</v>
      </c>
      <c r="F135" s="1564"/>
    </row>
    <row r="136" spans="1:6" s="1540" customFormat="1" ht="14.25" customHeight="1" thickBot="1">
      <c r="A136" s="1552" t="s">
        <v>367</v>
      </c>
      <c r="B136" s="1546" t="s">
        <v>1799</v>
      </c>
      <c r="C136" s="1546">
        <v>10160</v>
      </c>
      <c r="D136" s="1546">
        <v>10110</v>
      </c>
      <c r="E136" s="1546">
        <v>10080</v>
      </c>
      <c r="F136" s="1564"/>
    </row>
    <row r="137" spans="1:6" s="1540" customFormat="1" ht="14.25" customHeight="1" thickBot="1">
      <c r="A137" s="1552" t="s">
        <v>367</v>
      </c>
      <c r="B137" s="1546" t="s">
        <v>1806</v>
      </c>
      <c r="C137" s="1546">
        <v>9200</v>
      </c>
      <c r="D137" s="1546">
        <v>9170</v>
      </c>
      <c r="E137" s="1546">
        <v>9450</v>
      </c>
      <c r="F137" s="1564"/>
    </row>
    <row r="138" spans="1:6" s="1540" customFormat="1" ht="14.25" customHeight="1" thickBot="1">
      <c r="A138" s="1552" t="s">
        <v>367</v>
      </c>
      <c r="B138" s="1546" t="s">
        <v>1811</v>
      </c>
      <c r="C138" s="1546">
        <v>9690</v>
      </c>
      <c r="D138" s="1546">
        <v>9660</v>
      </c>
      <c r="E138" s="1546">
        <v>9840</v>
      </c>
      <c r="F138" s="1564"/>
    </row>
    <row r="139" spans="1:6" s="1540" customFormat="1" ht="14.25" customHeight="1" thickBot="1">
      <c r="A139" s="1552" t="s">
        <v>367</v>
      </c>
      <c r="B139" s="1546" t="s">
        <v>1815</v>
      </c>
      <c r="C139" s="1546">
        <v>10290</v>
      </c>
      <c r="D139" s="1546">
        <v>10260</v>
      </c>
      <c r="E139" s="1546">
        <v>10550</v>
      </c>
      <c r="F139" s="1560">
        <v>1700</v>
      </c>
    </row>
    <row r="140" spans="1:6" s="1540" customFormat="1" ht="14.25" customHeight="1" thickBot="1">
      <c r="A140" s="1552" t="s">
        <v>367</v>
      </c>
      <c r="B140" s="1546" t="s">
        <v>1820</v>
      </c>
      <c r="C140" s="1546">
        <v>9740</v>
      </c>
      <c r="D140" s="1546">
        <v>9710</v>
      </c>
      <c r="E140" s="1546">
        <v>10000</v>
      </c>
      <c r="F140" s="1560">
        <v>2000</v>
      </c>
    </row>
    <row r="141" spans="1:6" s="1540" customFormat="1" ht="14.25" customHeight="1" thickBot="1">
      <c r="A141" s="1552" t="s">
        <v>367</v>
      </c>
      <c r="B141" s="1546" t="s">
        <v>1825</v>
      </c>
      <c r="C141" s="1546">
        <v>9810</v>
      </c>
      <c r="D141" s="1546">
        <v>9770</v>
      </c>
      <c r="E141" s="1546">
        <v>10060</v>
      </c>
      <c r="F141" s="1564"/>
    </row>
    <row r="142" spans="1:6" s="1540" customFormat="1" ht="14.25" customHeight="1" thickBot="1">
      <c r="A142" s="1552" t="s">
        <v>367</v>
      </c>
      <c r="B142" s="1546" t="s">
        <v>1830</v>
      </c>
      <c r="C142" s="1546">
        <v>9300</v>
      </c>
      <c r="D142" s="1546">
        <v>9270</v>
      </c>
      <c r="E142" s="1546">
        <v>9530</v>
      </c>
      <c r="F142" s="1564"/>
    </row>
    <row r="143" spans="1:6" s="1540" customFormat="1" ht="14.25" customHeight="1" thickBot="1">
      <c r="A143" s="1552" t="s">
        <v>367</v>
      </c>
      <c r="B143" s="1546" t="s">
        <v>1835</v>
      </c>
      <c r="C143" s="1546">
        <v>10080</v>
      </c>
      <c r="D143" s="1546">
        <v>10050</v>
      </c>
      <c r="E143" s="1546">
        <v>10340</v>
      </c>
      <c r="F143" s="1564"/>
    </row>
    <row r="144" spans="1:6" s="1540" customFormat="1" ht="14.25" customHeight="1" thickBot="1">
      <c r="A144" s="1552" t="s">
        <v>367</v>
      </c>
      <c r="B144" s="1546" t="s">
        <v>1839</v>
      </c>
      <c r="C144" s="1546">
        <v>9820</v>
      </c>
      <c r="D144" s="1546">
        <v>9750</v>
      </c>
      <c r="E144" s="1546">
        <v>9900</v>
      </c>
      <c r="F144" s="1564"/>
    </row>
    <row r="145" spans="1:6" s="1540" customFormat="1" ht="14.25" customHeight="1" thickBot="1">
      <c r="A145" s="1552" t="s">
        <v>367</v>
      </c>
      <c r="B145" s="1546" t="s">
        <v>1843</v>
      </c>
      <c r="C145" s="1546"/>
      <c r="D145" s="1546"/>
      <c r="E145" s="1546"/>
      <c r="F145" s="1560">
        <v>1740</v>
      </c>
    </row>
    <row r="146" spans="1:6" s="1540" customFormat="1" ht="14.25" customHeight="1" thickBot="1">
      <c r="A146" s="1552" t="s">
        <v>367</v>
      </c>
      <c r="B146" s="1546" t="s">
        <v>1847</v>
      </c>
      <c r="C146" s="1546"/>
      <c r="D146" s="1546"/>
      <c r="E146" s="1546"/>
      <c r="F146" s="1560">
        <v>1740</v>
      </c>
    </row>
    <row r="147" spans="1:6" s="1540" customFormat="1" ht="14.25" customHeight="1" thickBot="1">
      <c r="A147" s="1552" t="s">
        <v>367</v>
      </c>
      <c r="B147" s="1546" t="s">
        <v>1851</v>
      </c>
      <c r="C147" s="1546"/>
      <c r="D147" s="1546"/>
      <c r="E147" s="1546"/>
      <c r="F147" s="1560">
        <v>1740</v>
      </c>
    </row>
    <row r="148" spans="1:6" s="1540" customFormat="1" ht="14.25" customHeight="1" thickBot="1">
      <c r="A148" s="1552" t="s">
        <v>367</v>
      </c>
      <c r="B148" s="1546" t="s">
        <v>1855</v>
      </c>
      <c r="C148" s="1546"/>
      <c r="D148" s="1546"/>
      <c r="E148" s="1546"/>
      <c r="F148" s="1560">
        <v>1740</v>
      </c>
    </row>
    <row r="149" spans="1:6" s="1540" customFormat="1" ht="14.25" customHeight="1" thickBot="1">
      <c r="A149" s="1552" t="s">
        <v>367</v>
      </c>
      <c r="B149" s="1546" t="s">
        <v>1859</v>
      </c>
      <c r="C149" s="1546"/>
      <c r="D149" s="1546"/>
      <c r="E149" s="1546"/>
      <c r="F149" s="1560">
        <v>1740</v>
      </c>
    </row>
    <row r="150" spans="1:6" s="1540" customFormat="1" ht="14.25" customHeight="1" thickBot="1">
      <c r="A150" s="1552" t="s">
        <v>367</v>
      </c>
      <c r="B150" s="1546" t="s">
        <v>1862</v>
      </c>
      <c r="C150" s="1546"/>
      <c r="D150" s="1546"/>
      <c r="E150" s="1546"/>
      <c r="F150" s="1560">
        <v>1610</v>
      </c>
    </row>
    <row r="151" spans="1:6" s="1540" customFormat="1" ht="14.25" customHeight="1" thickBot="1">
      <c r="A151" s="1552" t="s">
        <v>367</v>
      </c>
      <c r="B151" s="1546" t="s">
        <v>1865</v>
      </c>
      <c r="C151" s="1546"/>
      <c r="D151" s="1546"/>
      <c r="E151" s="1546"/>
      <c r="F151" s="1560">
        <v>1610</v>
      </c>
    </row>
    <row r="152" spans="1:6" s="1540" customFormat="1" ht="14.25" customHeight="1" thickBot="1">
      <c r="A152" s="1552" t="s">
        <v>367</v>
      </c>
      <c r="B152" s="1546" t="s">
        <v>1868</v>
      </c>
      <c r="C152" s="1546"/>
      <c r="D152" s="1546"/>
      <c r="E152" s="1546"/>
      <c r="F152" s="1560">
        <v>1610</v>
      </c>
    </row>
    <row r="153" spans="1:6" s="1540" customFormat="1" ht="14.25" customHeight="1" thickBot="1">
      <c r="A153" s="1552" t="s">
        <v>367</v>
      </c>
      <c r="B153" s="1546" t="s">
        <v>1871</v>
      </c>
      <c r="C153" s="1546"/>
      <c r="D153" s="1546"/>
      <c r="E153" s="1546"/>
      <c r="F153" s="1560">
        <v>1610</v>
      </c>
    </row>
    <row r="154" spans="1:6" s="1540" customFormat="1" ht="14.25" customHeight="1" thickBot="1">
      <c r="A154" s="1552" t="s">
        <v>367</v>
      </c>
      <c r="B154" s="1546" t="s">
        <v>1874</v>
      </c>
      <c r="C154" s="1546"/>
      <c r="D154" s="1546"/>
      <c r="E154" s="1546"/>
      <c r="F154" s="1560">
        <v>1610</v>
      </c>
    </row>
    <row r="155" spans="1:6" s="1540" customFormat="1" ht="14.25" customHeight="1" thickBot="1">
      <c r="A155" s="1552" t="s">
        <v>367</v>
      </c>
      <c r="B155" s="1546" t="s">
        <v>1877</v>
      </c>
      <c r="C155" s="1546"/>
      <c r="D155" s="1546"/>
      <c r="E155" s="1546"/>
      <c r="F155" s="1560">
        <v>1800</v>
      </c>
    </row>
    <row r="156" spans="1:6" s="1540" customFormat="1" ht="14.25" customHeight="1" thickBot="1">
      <c r="A156" s="1552" t="s">
        <v>367</v>
      </c>
      <c r="B156" s="1546" t="s">
        <v>1879</v>
      </c>
      <c r="C156" s="1546"/>
      <c r="D156" s="1546"/>
      <c r="E156" s="1546"/>
      <c r="F156" s="1560">
        <v>1910</v>
      </c>
    </row>
    <row r="157" spans="1:6" s="1540" customFormat="1" ht="14.25" customHeight="1" thickBot="1">
      <c r="A157" s="1552" t="s">
        <v>367</v>
      </c>
      <c r="B157" s="1558" t="s">
        <v>1882</v>
      </c>
      <c r="C157" s="1558"/>
      <c r="D157" s="1558"/>
      <c r="E157" s="1558"/>
      <c r="F157" s="1563">
        <v>1500</v>
      </c>
    </row>
    <row r="158" spans="1:6" s="1540" customFormat="1" ht="14.25" customHeight="1" thickBot="1">
      <c r="A158" s="1552" t="s">
        <v>1887</v>
      </c>
      <c r="B158" s="1553" t="s">
        <v>1888</v>
      </c>
      <c r="C158" s="1553">
        <v>8170</v>
      </c>
      <c r="D158" s="1553">
        <v>8140</v>
      </c>
      <c r="E158" s="1553">
        <v>8590</v>
      </c>
      <c r="F158" s="1554">
        <v>1450</v>
      </c>
    </row>
    <row r="159" spans="1:6" s="1540" customFormat="1" ht="14.25" customHeight="1" thickBot="1">
      <c r="A159" s="1552" t="s">
        <v>1887</v>
      </c>
      <c r="B159" s="1546" t="s">
        <v>1554</v>
      </c>
      <c r="C159" s="1546">
        <v>7410</v>
      </c>
      <c r="D159" s="1546">
        <v>7370</v>
      </c>
      <c r="E159" s="1546">
        <v>8030</v>
      </c>
      <c r="F159" s="1560">
        <v>1510</v>
      </c>
    </row>
    <row r="160" spans="1:6" s="1540" customFormat="1" ht="14.25" customHeight="1" thickBot="1">
      <c r="A160" s="1552" t="s">
        <v>1887</v>
      </c>
      <c r="B160" s="1546" t="s">
        <v>1567</v>
      </c>
      <c r="C160" s="1546">
        <v>7240</v>
      </c>
      <c r="D160" s="1546">
        <v>7210</v>
      </c>
      <c r="E160" s="1546">
        <v>7860</v>
      </c>
      <c r="F160" s="1560">
        <v>1370</v>
      </c>
    </row>
    <row r="161" spans="1:6" s="1540" customFormat="1" ht="14.25" customHeight="1" thickBot="1">
      <c r="A161" s="1552" t="s">
        <v>1887</v>
      </c>
      <c r="B161" s="1546" t="s">
        <v>1580</v>
      </c>
      <c r="C161" s="1546">
        <v>7720</v>
      </c>
      <c r="D161" s="1546">
        <v>7690</v>
      </c>
      <c r="E161" s="1546">
        <v>8200</v>
      </c>
      <c r="F161" s="1560">
        <v>1190</v>
      </c>
    </row>
    <row r="162" spans="1:6" s="1540" customFormat="1" ht="14.25" customHeight="1" thickBot="1">
      <c r="A162" s="1552" t="s">
        <v>1887</v>
      </c>
      <c r="B162" s="1546" t="s">
        <v>1592</v>
      </c>
      <c r="C162" s="1546">
        <v>6900</v>
      </c>
      <c r="D162" s="1546">
        <v>6870</v>
      </c>
      <c r="E162" s="1546">
        <v>7500</v>
      </c>
      <c r="F162" s="1560">
        <v>1390</v>
      </c>
    </row>
    <row r="163" spans="1:6" s="1540" customFormat="1" ht="14.25" customHeight="1" thickBot="1">
      <c r="A163" s="1552" t="s">
        <v>1887</v>
      </c>
      <c r="B163" s="1546" t="s">
        <v>1603</v>
      </c>
      <c r="C163" s="1546">
        <v>7120</v>
      </c>
      <c r="D163" s="1546">
        <v>7090</v>
      </c>
      <c r="E163" s="1546">
        <v>7690</v>
      </c>
      <c r="F163" s="1560">
        <v>1230</v>
      </c>
    </row>
    <row r="164" spans="1:6" s="1540" customFormat="1" ht="14.25" customHeight="1" thickBot="1">
      <c r="A164" s="1552" t="s">
        <v>1887</v>
      </c>
      <c r="B164" s="1546" t="s">
        <v>1614</v>
      </c>
      <c r="C164" s="1546">
        <v>6560</v>
      </c>
      <c r="D164" s="1546">
        <v>6530</v>
      </c>
      <c r="E164" s="1546">
        <v>7110</v>
      </c>
      <c r="F164" s="1560">
        <v>1340</v>
      </c>
    </row>
    <row r="165" spans="1:6" s="1540" customFormat="1" ht="14.25" customHeight="1" thickBot="1">
      <c r="A165" s="1552" t="s">
        <v>1887</v>
      </c>
      <c r="B165" s="1546" t="s">
        <v>1625</v>
      </c>
      <c r="C165" s="1546">
        <v>7450</v>
      </c>
      <c r="D165" s="1546">
        <v>7430</v>
      </c>
      <c r="E165" s="1546">
        <v>8110</v>
      </c>
      <c r="F165" s="1560">
        <v>1290</v>
      </c>
    </row>
    <row r="166" spans="1:6" s="1540" customFormat="1" ht="14.25" customHeight="1" thickBot="1">
      <c r="A166" s="1552" t="s">
        <v>1887</v>
      </c>
      <c r="B166" s="1546" t="s">
        <v>1637</v>
      </c>
      <c r="C166" s="1546">
        <v>7490</v>
      </c>
      <c r="D166" s="1546">
        <v>7460</v>
      </c>
      <c r="E166" s="1546">
        <v>8150</v>
      </c>
      <c r="F166" s="1560">
        <v>1350</v>
      </c>
    </row>
    <row r="167" spans="1:6" s="1540" customFormat="1" ht="14.25" customHeight="1" thickBot="1">
      <c r="A167" s="1552" t="s">
        <v>1887</v>
      </c>
      <c r="B167" s="1546" t="s">
        <v>1647</v>
      </c>
      <c r="C167" s="1546">
        <v>7540</v>
      </c>
      <c r="D167" s="1546">
        <v>7510</v>
      </c>
      <c r="E167" s="1546">
        <v>8030</v>
      </c>
      <c r="F167" s="1564"/>
    </row>
    <row r="168" spans="1:6" s="1540" customFormat="1" ht="14.25" customHeight="1" thickBot="1">
      <c r="A168" s="1552" t="s">
        <v>1887</v>
      </c>
      <c r="B168" s="1546" t="s">
        <v>1657</v>
      </c>
      <c r="C168" s="1546">
        <v>7210</v>
      </c>
      <c r="D168" s="1546">
        <v>7180</v>
      </c>
      <c r="E168" s="1546">
        <v>7830</v>
      </c>
      <c r="F168" s="1564"/>
    </row>
    <row r="169" spans="1:6" s="1540" customFormat="1" ht="14.25" customHeight="1" thickBot="1">
      <c r="A169" s="1552" t="s">
        <v>1887</v>
      </c>
      <c r="B169" s="1546" t="s">
        <v>1667</v>
      </c>
      <c r="C169" s="1546">
        <v>7040</v>
      </c>
      <c r="D169" s="1546">
        <v>7020</v>
      </c>
      <c r="E169" s="1546">
        <v>7670</v>
      </c>
      <c r="F169" s="1564"/>
    </row>
    <row r="170" spans="1:6" s="1540" customFormat="1" ht="14.25" customHeight="1" thickBot="1">
      <c r="A170" s="1552" t="s">
        <v>1887</v>
      </c>
      <c r="B170" s="1546" t="s">
        <v>1677</v>
      </c>
      <c r="C170" s="1546">
        <v>8040</v>
      </c>
      <c r="D170" s="1546">
        <v>7190</v>
      </c>
      <c r="E170" s="1546">
        <v>7850</v>
      </c>
      <c r="F170" s="1564"/>
    </row>
    <row r="171" spans="1:6" s="1540" customFormat="1" ht="14.25" customHeight="1" thickBot="1">
      <c r="A171" s="1552" t="s">
        <v>1887</v>
      </c>
      <c r="B171" s="1546" t="s">
        <v>1688</v>
      </c>
      <c r="C171" s="1546">
        <v>7860</v>
      </c>
      <c r="D171" s="1546">
        <v>7720</v>
      </c>
      <c r="E171" s="1546">
        <v>8150</v>
      </c>
      <c r="F171" s="1560">
        <v>1110</v>
      </c>
    </row>
    <row r="172" spans="1:6" s="1540" customFormat="1" ht="14.25" customHeight="1" thickBot="1">
      <c r="A172" s="1552" t="s">
        <v>1887</v>
      </c>
      <c r="B172" s="1546" t="s">
        <v>1699</v>
      </c>
      <c r="C172" s="1546">
        <v>7210</v>
      </c>
      <c r="D172" s="1546">
        <v>7170</v>
      </c>
      <c r="E172" s="1546">
        <v>7320</v>
      </c>
      <c r="F172" s="1564"/>
    </row>
    <row r="173" spans="1:6" s="1540" customFormat="1" ht="14.25" customHeight="1" thickBot="1">
      <c r="A173" s="1552" t="s">
        <v>1887</v>
      </c>
      <c r="B173" s="1546" t="s">
        <v>1709</v>
      </c>
      <c r="C173" s="1546">
        <v>6860</v>
      </c>
      <c r="D173" s="1546">
        <v>6810</v>
      </c>
      <c r="E173" s="1546">
        <v>7440</v>
      </c>
      <c r="F173" s="1564"/>
    </row>
    <row r="174" spans="1:6" s="1540" customFormat="1" ht="14.25" customHeight="1" thickBot="1">
      <c r="A174" s="1552" t="s">
        <v>1887</v>
      </c>
      <c r="B174" s="1546" t="s">
        <v>1719</v>
      </c>
      <c r="C174" s="1546">
        <v>7120</v>
      </c>
      <c r="D174" s="1546">
        <v>7090</v>
      </c>
      <c r="E174" s="1546">
        <v>7500</v>
      </c>
      <c r="F174" s="1560">
        <v>1490</v>
      </c>
    </row>
    <row r="175" spans="1:6" s="1540" customFormat="1" ht="14.25" customHeight="1" thickBot="1">
      <c r="A175" s="1552" t="s">
        <v>1887</v>
      </c>
      <c r="B175" s="1546" t="s">
        <v>1729</v>
      </c>
      <c r="C175" s="1546">
        <v>7850</v>
      </c>
      <c r="D175" s="1546">
        <v>7820</v>
      </c>
      <c r="E175" s="1546">
        <v>8120</v>
      </c>
      <c r="F175" s="1560">
        <v>1530</v>
      </c>
    </row>
    <row r="176" spans="1:6" s="1540" customFormat="1" ht="14.25" customHeight="1" thickBot="1">
      <c r="A176" s="1552" t="s">
        <v>1887</v>
      </c>
      <c r="B176" s="1546" t="s">
        <v>1739</v>
      </c>
      <c r="C176" s="1546">
        <v>7620</v>
      </c>
      <c r="D176" s="1546">
        <v>7570</v>
      </c>
      <c r="E176" s="1546">
        <v>7990</v>
      </c>
      <c r="F176" s="1560">
        <v>1480</v>
      </c>
    </row>
    <row r="177" spans="1:6" s="1540" customFormat="1" ht="14.25" customHeight="1" thickBot="1">
      <c r="A177" s="1552" t="s">
        <v>1887</v>
      </c>
      <c r="B177" s="1546" t="s">
        <v>1748</v>
      </c>
      <c r="C177" s="1546">
        <v>8590</v>
      </c>
      <c r="D177" s="1546">
        <v>8570</v>
      </c>
      <c r="E177" s="1546">
        <v>8740</v>
      </c>
      <c r="F177" s="1560">
        <v>1540</v>
      </c>
    </row>
    <row r="178" spans="1:6" s="1540" customFormat="1" ht="14.25" customHeight="1" thickBot="1">
      <c r="A178" s="1552" t="s">
        <v>1887</v>
      </c>
      <c r="B178" s="1546" t="s">
        <v>1757</v>
      </c>
      <c r="C178" s="1546">
        <v>7510</v>
      </c>
      <c r="D178" s="1546">
        <v>7470</v>
      </c>
      <c r="E178" s="1546">
        <v>8090</v>
      </c>
      <c r="F178" s="1560">
        <v>1320</v>
      </c>
    </row>
    <row r="179" spans="1:6" s="1540" customFormat="1" ht="14.25" customHeight="1" thickBot="1">
      <c r="A179" s="1552" t="s">
        <v>1887</v>
      </c>
      <c r="B179" s="1546" t="s">
        <v>1765</v>
      </c>
      <c r="C179" s="1546">
        <v>6380</v>
      </c>
      <c r="D179" s="1546">
        <v>6340</v>
      </c>
      <c r="E179" s="1546">
        <v>6810</v>
      </c>
      <c r="F179" s="1564"/>
    </row>
    <row r="180" spans="1:6" s="1540" customFormat="1" ht="14.25" customHeight="1" thickBot="1">
      <c r="A180" s="1552" t="s">
        <v>1887</v>
      </c>
      <c r="B180" s="1546" t="s">
        <v>1772</v>
      </c>
      <c r="C180" s="1546">
        <v>7830</v>
      </c>
      <c r="D180" s="1546">
        <v>7800</v>
      </c>
      <c r="E180" s="1546">
        <v>7780</v>
      </c>
      <c r="F180" s="1560">
        <v>1440</v>
      </c>
    </row>
    <row r="181" spans="1:6" s="1540" customFormat="1" ht="14.25" customHeight="1" thickBot="1">
      <c r="A181" s="1552" t="s">
        <v>1887</v>
      </c>
      <c r="B181" s="1546" t="s">
        <v>1779</v>
      </c>
      <c r="C181" s="1546">
        <v>7110</v>
      </c>
      <c r="D181" s="1546">
        <v>7080</v>
      </c>
      <c r="E181" s="1546">
        <v>7730</v>
      </c>
      <c r="F181" s="1560">
        <v>1350</v>
      </c>
    </row>
    <row r="182" spans="1:6" s="1540" customFormat="1" ht="14.25" customHeight="1" thickBot="1">
      <c r="A182" s="1552" t="s">
        <v>1887</v>
      </c>
      <c r="B182" s="1546" t="s">
        <v>1786</v>
      </c>
      <c r="C182" s="1546">
        <v>7310</v>
      </c>
      <c r="D182" s="1546">
        <v>7280</v>
      </c>
      <c r="E182" s="1546">
        <v>7950</v>
      </c>
      <c r="F182" s="1560">
        <v>1220</v>
      </c>
    </row>
    <row r="183" spans="1:6" s="1540" customFormat="1" ht="14.25" customHeight="1" thickBot="1">
      <c r="A183" s="1552" t="s">
        <v>1887</v>
      </c>
      <c r="B183" s="1546" t="s">
        <v>1793</v>
      </c>
      <c r="C183" s="1546">
        <v>7470</v>
      </c>
      <c r="D183" s="1546">
        <v>7440</v>
      </c>
      <c r="E183" s="1546">
        <v>7880</v>
      </c>
      <c r="F183" s="1564"/>
    </row>
    <row r="184" spans="1:6" s="1540" customFormat="1" ht="14.25" customHeight="1" thickBot="1">
      <c r="A184" s="1552" t="s">
        <v>1887</v>
      </c>
      <c r="B184" s="1546" t="s">
        <v>1800</v>
      </c>
      <c r="C184" s="1546">
        <v>6960</v>
      </c>
      <c r="D184" s="1546">
        <v>6930</v>
      </c>
      <c r="E184" s="1546">
        <v>7570</v>
      </c>
      <c r="F184" s="1564"/>
    </row>
    <row r="185" spans="1:6" s="1540" customFormat="1" ht="14.25" customHeight="1" thickBot="1">
      <c r="A185" s="1552" t="s">
        <v>1887</v>
      </c>
      <c r="B185" s="1546" t="s">
        <v>1807</v>
      </c>
      <c r="C185" s="1546">
        <v>7260</v>
      </c>
      <c r="D185" s="1546">
        <v>7230</v>
      </c>
      <c r="E185" s="1546">
        <v>7710</v>
      </c>
      <c r="F185" s="1560">
        <v>1360</v>
      </c>
    </row>
    <row r="186" spans="1:6" s="1540" customFormat="1" ht="14.25" customHeight="1" thickBot="1">
      <c r="A186" s="1552" t="s">
        <v>1887</v>
      </c>
      <c r="B186" s="1546" t="s">
        <v>1812</v>
      </c>
      <c r="C186" s="1546"/>
      <c r="D186" s="1546"/>
      <c r="E186" s="1546"/>
      <c r="F186" s="1560">
        <v>1560</v>
      </c>
    </row>
    <row r="187" spans="1:6" s="1540" customFormat="1" ht="14.25" customHeight="1" thickBot="1">
      <c r="A187" s="1552" t="s">
        <v>1887</v>
      </c>
      <c r="B187" s="1546" t="s">
        <v>1816</v>
      </c>
      <c r="C187" s="1546"/>
      <c r="D187" s="1546"/>
      <c r="E187" s="1546"/>
      <c r="F187" s="1560">
        <v>1560</v>
      </c>
    </row>
    <row r="188" spans="1:6" s="1540" customFormat="1" ht="14.25" customHeight="1" thickBot="1">
      <c r="A188" s="1552" t="s">
        <v>1887</v>
      </c>
      <c r="B188" s="1546" t="s">
        <v>1821</v>
      </c>
      <c r="C188" s="1546"/>
      <c r="D188" s="1546"/>
      <c r="E188" s="1546"/>
      <c r="F188" s="1560">
        <v>1560</v>
      </c>
    </row>
    <row r="189" spans="1:6" s="1540" customFormat="1" ht="14.25" customHeight="1" thickBot="1">
      <c r="A189" s="1552" t="s">
        <v>1887</v>
      </c>
      <c r="B189" s="1546" t="s">
        <v>1826</v>
      </c>
      <c r="C189" s="1546"/>
      <c r="D189" s="1546"/>
      <c r="E189" s="1546"/>
      <c r="F189" s="1560">
        <v>1320</v>
      </c>
    </row>
    <row r="190" spans="1:6" s="1540" customFormat="1" ht="14.25" customHeight="1" thickBot="1">
      <c r="A190" s="1552" t="s">
        <v>1887</v>
      </c>
      <c r="B190" s="1546" t="s">
        <v>1831</v>
      </c>
      <c r="C190" s="1546"/>
      <c r="D190" s="1546"/>
      <c r="E190" s="1546"/>
      <c r="F190" s="1560">
        <v>1320</v>
      </c>
    </row>
    <row r="191" spans="1:6" s="1540" customFormat="1" ht="14.25" customHeight="1" thickBot="1">
      <c r="A191" s="1552" t="s">
        <v>1887</v>
      </c>
      <c r="B191" s="1546" t="s">
        <v>1836</v>
      </c>
      <c r="C191" s="1546"/>
      <c r="D191" s="1546"/>
      <c r="E191" s="1546"/>
      <c r="F191" s="1560">
        <v>1320</v>
      </c>
    </row>
    <row r="192" spans="1:6" s="1540" customFormat="1" ht="14.25" customHeight="1" thickBot="1">
      <c r="A192" s="1552" t="s">
        <v>1887</v>
      </c>
      <c r="B192" s="1546" t="s">
        <v>1840</v>
      </c>
      <c r="C192" s="1546"/>
      <c r="D192" s="1546"/>
      <c r="E192" s="1546"/>
      <c r="F192" s="1560">
        <v>1100</v>
      </c>
    </row>
    <row r="193" spans="1:6" s="1540" customFormat="1" ht="14.25" customHeight="1" thickBot="1">
      <c r="A193" s="1552" t="s">
        <v>1887</v>
      </c>
      <c r="B193" s="1546" t="s">
        <v>1844</v>
      </c>
      <c r="C193" s="1546"/>
      <c r="D193" s="1546"/>
      <c r="E193" s="1546"/>
      <c r="F193" s="1560">
        <v>1100</v>
      </c>
    </row>
    <row r="194" spans="1:6" s="1540" customFormat="1" ht="14.25" customHeight="1" thickBot="1">
      <c r="A194" s="1552" t="s">
        <v>1887</v>
      </c>
      <c r="B194" s="1546" t="s">
        <v>1848</v>
      </c>
      <c r="C194" s="1546"/>
      <c r="D194" s="1546"/>
      <c r="E194" s="1546"/>
      <c r="F194" s="1560">
        <v>1080</v>
      </c>
    </row>
    <row r="195" spans="1:6" s="1540" customFormat="1" ht="14.25" customHeight="1" thickBot="1">
      <c r="A195" s="1552" t="s">
        <v>1887</v>
      </c>
      <c r="B195" s="1546" t="s">
        <v>1852</v>
      </c>
      <c r="C195" s="1546"/>
      <c r="D195" s="1546"/>
      <c r="E195" s="1546"/>
      <c r="F195" s="1560">
        <v>1270</v>
      </c>
    </row>
    <row r="196" spans="1:6" s="1540" customFormat="1" ht="14.25" customHeight="1" thickBot="1">
      <c r="A196" s="1552" t="s">
        <v>1887</v>
      </c>
      <c r="B196" s="1546" t="s">
        <v>1856</v>
      </c>
      <c r="C196" s="1546"/>
      <c r="D196" s="1546"/>
      <c r="E196" s="1546"/>
      <c r="F196" s="1560">
        <v>1150</v>
      </c>
    </row>
    <row r="197" spans="1:6" s="1540" customFormat="1" ht="14.25" customHeight="1" thickBot="1">
      <c r="A197" s="1552" t="s">
        <v>1887</v>
      </c>
      <c r="B197" s="1546" t="s">
        <v>1860</v>
      </c>
      <c r="C197" s="1546"/>
      <c r="D197" s="1546"/>
      <c r="E197" s="1546"/>
      <c r="F197" s="1560">
        <v>1330</v>
      </c>
    </row>
    <row r="198" spans="1:6" s="1540" customFormat="1" ht="14.25" customHeight="1" thickBot="1">
      <c r="A198" s="1552" t="s">
        <v>1887</v>
      </c>
      <c r="B198" s="1546" t="s">
        <v>1863</v>
      </c>
      <c r="C198" s="1546"/>
      <c r="D198" s="1546"/>
      <c r="E198" s="1546"/>
      <c r="F198" s="1560">
        <v>1170</v>
      </c>
    </row>
    <row r="199" spans="1:6" s="1540" customFormat="1" ht="14.25" customHeight="1" thickBot="1">
      <c r="A199" s="1552" t="s">
        <v>1887</v>
      </c>
      <c r="B199" s="1546" t="s">
        <v>1866</v>
      </c>
      <c r="C199" s="1546"/>
      <c r="D199" s="1546"/>
      <c r="E199" s="1546"/>
      <c r="F199" s="1560">
        <v>1120</v>
      </c>
    </row>
    <row r="200" spans="1:6" s="1540" customFormat="1" ht="14.25" customHeight="1" thickBot="1">
      <c r="A200" s="1552" t="s">
        <v>1887</v>
      </c>
      <c r="B200" s="1546" t="s">
        <v>1869</v>
      </c>
      <c r="C200" s="1546"/>
      <c r="D200" s="1546"/>
      <c r="E200" s="1546"/>
      <c r="F200" s="1560">
        <v>1120</v>
      </c>
    </row>
    <row r="201" spans="1:6" s="1540" customFormat="1" ht="14.25" customHeight="1" thickBot="1">
      <c r="A201" s="1552" t="s">
        <v>1887</v>
      </c>
      <c r="B201" s="1546" t="s">
        <v>1872</v>
      </c>
      <c r="C201" s="1546"/>
      <c r="D201" s="1546"/>
      <c r="E201" s="1546"/>
      <c r="F201" s="1560">
        <v>1540</v>
      </c>
    </row>
    <row r="202" spans="1:6" s="1540" customFormat="1" ht="14.25" customHeight="1" thickBot="1">
      <c r="A202" s="1552" t="s">
        <v>1887</v>
      </c>
      <c r="B202" s="1546" t="s">
        <v>1875</v>
      </c>
      <c r="C202" s="1546"/>
      <c r="D202" s="1546"/>
      <c r="E202" s="1546"/>
      <c r="F202" s="1560">
        <v>1310</v>
      </c>
    </row>
    <row r="203" spans="1:6" s="1540" customFormat="1" ht="14.25" customHeight="1" thickBot="1">
      <c r="A203" s="1552" t="s">
        <v>1887</v>
      </c>
      <c r="B203" s="1546" t="s">
        <v>1878</v>
      </c>
      <c r="C203" s="1546"/>
      <c r="D203" s="1546"/>
      <c r="E203" s="1546"/>
      <c r="F203" s="1560">
        <v>1310</v>
      </c>
    </row>
    <row r="204" spans="1:6" s="1540" customFormat="1" ht="14.25" customHeight="1" thickBot="1">
      <c r="A204" s="1552" t="s">
        <v>1887</v>
      </c>
      <c r="B204" s="1546" t="s">
        <v>1880</v>
      </c>
      <c r="C204" s="1546"/>
      <c r="D204" s="1546"/>
      <c r="E204" s="1546"/>
      <c r="F204" s="1560">
        <v>1080</v>
      </c>
    </row>
    <row r="205" spans="1:6" s="1540" customFormat="1" ht="14.25" customHeight="1" thickBot="1">
      <c r="A205" s="1552" t="s">
        <v>1887</v>
      </c>
      <c r="B205" s="1546" t="s">
        <v>1883</v>
      </c>
      <c r="C205" s="1546"/>
      <c r="D205" s="1546"/>
      <c r="E205" s="1546"/>
      <c r="F205" s="1560">
        <v>1080</v>
      </c>
    </row>
    <row r="206" spans="1:6" s="1540" customFormat="1" ht="14.25" customHeight="1" thickBot="1">
      <c r="A206" s="1552" t="s">
        <v>1889</v>
      </c>
      <c r="B206" s="1553" t="s">
        <v>1890</v>
      </c>
      <c r="C206" s="1553">
        <v>5450</v>
      </c>
      <c r="D206" s="1553">
        <v>5430</v>
      </c>
      <c r="E206" s="1553">
        <v>5700</v>
      </c>
      <c r="F206" s="1554">
        <v>1020</v>
      </c>
    </row>
    <row r="207" spans="1:6" s="1540" customFormat="1" ht="14.25" customHeight="1" thickBot="1">
      <c r="A207" s="1552" t="s">
        <v>1889</v>
      </c>
      <c r="B207" s="1546" t="s">
        <v>1555</v>
      </c>
      <c r="C207" s="1546">
        <v>5860</v>
      </c>
      <c r="D207" s="1546">
        <v>5820</v>
      </c>
      <c r="E207" s="1546">
        <v>6050</v>
      </c>
      <c r="F207" s="1560">
        <v>1080</v>
      </c>
    </row>
    <row r="208" spans="1:6" s="1540" customFormat="1" ht="14.25" customHeight="1" thickBot="1">
      <c r="A208" s="1552" t="s">
        <v>1889</v>
      </c>
      <c r="B208" s="1546" t="s">
        <v>1568</v>
      </c>
      <c r="C208" s="1546">
        <v>4630</v>
      </c>
      <c r="D208" s="1546">
        <v>4600</v>
      </c>
      <c r="E208" s="1546">
        <v>4840</v>
      </c>
      <c r="F208" s="1560">
        <v>900</v>
      </c>
    </row>
    <row r="209" spans="1:6" s="1540" customFormat="1" ht="14.25" customHeight="1" thickBot="1">
      <c r="A209" s="1552" t="s">
        <v>1889</v>
      </c>
      <c r="B209" s="1546" t="s">
        <v>1581</v>
      </c>
      <c r="C209" s="1546">
        <v>5320</v>
      </c>
      <c r="D209" s="1546">
        <v>5270</v>
      </c>
      <c r="E209" s="1546">
        <v>5540</v>
      </c>
      <c r="F209" s="1560">
        <v>980</v>
      </c>
    </row>
    <row r="210" spans="1:6" s="1540" customFormat="1" ht="14.25" customHeight="1" thickBot="1">
      <c r="A210" s="1552" t="s">
        <v>1889</v>
      </c>
      <c r="B210" s="1546" t="s">
        <v>1593</v>
      </c>
      <c r="C210" s="1546">
        <v>5760</v>
      </c>
      <c r="D210" s="1546">
        <v>5710</v>
      </c>
      <c r="E210" s="1546">
        <v>6010</v>
      </c>
      <c r="F210" s="1560">
        <v>870</v>
      </c>
    </row>
    <row r="211" spans="1:6" s="1540" customFormat="1" ht="14.25" customHeight="1" thickBot="1">
      <c r="A211" s="1552" t="s">
        <v>1889</v>
      </c>
      <c r="B211" s="1546" t="s">
        <v>1604</v>
      </c>
      <c r="C211" s="1546">
        <v>4160</v>
      </c>
      <c r="D211" s="1546">
        <v>4100</v>
      </c>
      <c r="E211" s="1546">
        <v>4270</v>
      </c>
      <c r="F211" s="1560">
        <v>790</v>
      </c>
    </row>
    <row r="212" spans="1:6" s="1540" customFormat="1" ht="14.25" customHeight="1" thickBot="1">
      <c r="A212" s="1552" t="s">
        <v>1889</v>
      </c>
      <c r="B212" s="1546" t="s">
        <v>1615</v>
      </c>
      <c r="C212" s="1546">
        <v>4880</v>
      </c>
      <c r="D212" s="1546">
        <v>4850</v>
      </c>
      <c r="E212" s="1546">
        <v>5110</v>
      </c>
      <c r="F212" s="1560">
        <v>940</v>
      </c>
    </row>
    <row r="213" spans="1:6" s="1540" customFormat="1" ht="14.25" customHeight="1" thickBot="1">
      <c r="A213" s="1552" t="s">
        <v>1889</v>
      </c>
      <c r="B213" s="1546" t="s">
        <v>1626</v>
      </c>
      <c r="C213" s="1546">
        <v>4640</v>
      </c>
      <c r="D213" s="1546">
        <v>4590</v>
      </c>
      <c r="E213" s="1546">
        <v>4700</v>
      </c>
      <c r="F213" s="1560">
        <v>1030</v>
      </c>
    </row>
    <row r="214" spans="1:6" s="1540" customFormat="1" ht="14.25" customHeight="1" thickBot="1">
      <c r="A214" s="1552" t="s">
        <v>1889</v>
      </c>
      <c r="B214" s="1546" t="s">
        <v>1638</v>
      </c>
      <c r="C214" s="1546">
        <v>4540</v>
      </c>
      <c r="D214" s="1546">
        <v>4490</v>
      </c>
      <c r="E214" s="1546">
        <v>4610</v>
      </c>
      <c r="F214" s="1564"/>
    </row>
    <row r="215" spans="1:6" s="1540" customFormat="1" ht="14.25" customHeight="1" thickBot="1">
      <c r="A215" s="1552" t="s">
        <v>1889</v>
      </c>
      <c r="B215" s="1546" t="s">
        <v>1648</v>
      </c>
      <c r="C215" s="1546">
        <v>5280</v>
      </c>
      <c r="D215" s="1546">
        <v>5250</v>
      </c>
      <c r="E215" s="1546">
        <v>5520</v>
      </c>
      <c r="F215" s="1560">
        <v>1000</v>
      </c>
    </row>
    <row r="216" spans="1:6" s="1540" customFormat="1" ht="14.25" customHeight="1" thickBot="1">
      <c r="A216" s="1552" t="s">
        <v>1889</v>
      </c>
      <c r="B216" s="1546" t="s">
        <v>1658</v>
      </c>
      <c r="C216" s="1546">
        <v>5100</v>
      </c>
      <c r="D216" s="1546">
        <v>5050</v>
      </c>
      <c r="E216" s="1546">
        <v>5300</v>
      </c>
      <c r="F216" s="1560">
        <v>950</v>
      </c>
    </row>
    <row r="217" spans="1:6" s="1540" customFormat="1" ht="14.25" customHeight="1" thickBot="1">
      <c r="A217" s="1552" t="s">
        <v>1889</v>
      </c>
      <c r="B217" s="1546" t="s">
        <v>1668</v>
      </c>
      <c r="C217" s="1546">
        <v>5370</v>
      </c>
      <c r="D217" s="1546">
        <v>5320</v>
      </c>
      <c r="E217" s="1546">
        <v>5410</v>
      </c>
      <c r="F217" s="1560">
        <v>950</v>
      </c>
    </row>
    <row r="218" spans="1:6" s="1540" customFormat="1" ht="14.25" customHeight="1" thickBot="1">
      <c r="A218" s="1552" t="s">
        <v>1889</v>
      </c>
      <c r="B218" s="1546" t="s">
        <v>1678</v>
      </c>
      <c r="C218" s="1546">
        <v>5540</v>
      </c>
      <c r="D218" s="1546">
        <v>5480</v>
      </c>
      <c r="E218" s="1546">
        <v>5740</v>
      </c>
      <c r="F218" s="1560">
        <v>1020</v>
      </c>
    </row>
    <row r="219" spans="1:6" s="1540" customFormat="1" ht="14.25" customHeight="1" thickBot="1">
      <c r="A219" s="1552" t="s">
        <v>1889</v>
      </c>
      <c r="B219" s="1546" t="s">
        <v>1689</v>
      </c>
      <c r="C219" s="1546">
        <v>5140</v>
      </c>
      <c r="D219" s="1546">
        <v>5100</v>
      </c>
      <c r="E219" s="1546">
        <v>5350</v>
      </c>
      <c r="F219" s="1560">
        <v>1120</v>
      </c>
    </row>
    <row r="220" spans="1:6" s="1540" customFormat="1" ht="14.25" customHeight="1" thickBot="1">
      <c r="A220" s="1552" t="s">
        <v>1889</v>
      </c>
      <c r="B220" s="1546" t="s">
        <v>1700</v>
      </c>
      <c r="C220" s="1546">
        <v>5040</v>
      </c>
      <c r="D220" s="1546">
        <v>5000</v>
      </c>
      <c r="E220" s="1546">
        <v>5240</v>
      </c>
      <c r="F220" s="1560">
        <v>980</v>
      </c>
    </row>
    <row r="221" spans="1:6" s="1540" customFormat="1" ht="14.25" customHeight="1" thickBot="1">
      <c r="A221" s="1552" t="s">
        <v>1889</v>
      </c>
      <c r="B221" s="1546" t="s">
        <v>1710</v>
      </c>
      <c r="C221" s="1565"/>
      <c r="D221" s="1565"/>
      <c r="E221" s="1565"/>
      <c r="F221" s="1560">
        <v>1070</v>
      </c>
    </row>
    <row r="222" spans="1:6" s="1540" customFormat="1" ht="14.25" customHeight="1" thickBot="1">
      <c r="A222" s="1552" t="s">
        <v>1889</v>
      </c>
      <c r="B222" s="1546" t="s">
        <v>1720</v>
      </c>
      <c r="C222" s="1565"/>
      <c r="D222" s="1565"/>
      <c r="E222" s="1565"/>
      <c r="F222" s="1560">
        <v>870</v>
      </c>
    </row>
    <row r="223" spans="1:6" s="1540" customFormat="1" ht="14.25" customHeight="1" thickBot="1">
      <c r="A223" s="1552" t="s">
        <v>1889</v>
      </c>
      <c r="B223" s="1546" t="s">
        <v>1730</v>
      </c>
      <c r="C223" s="1565"/>
      <c r="D223" s="1565"/>
      <c r="E223" s="1565"/>
      <c r="F223" s="1560">
        <v>940</v>
      </c>
    </row>
    <row r="224" spans="1:6" s="1540" customFormat="1" ht="14.25" customHeight="1" thickBot="1">
      <c r="A224" s="1552" t="s">
        <v>1889</v>
      </c>
      <c r="B224" s="1546" t="s">
        <v>1740</v>
      </c>
      <c r="C224" s="1565"/>
      <c r="D224" s="1565"/>
      <c r="E224" s="1565"/>
      <c r="F224" s="1560">
        <v>990</v>
      </c>
    </row>
    <row r="225" spans="1:6" s="1540" customFormat="1" ht="14.25" customHeight="1" thickBot="1">
      <c r="A225" s="1552" t="s">
        <v>1889</v>
      </c>
      <c r="B225" s="1546" t="s">
        <v>1749</v>
      </c>
      <c r="C225" s="1546">
        <v>5730</v>
      </c>
      <c r="D225" s="1546">
        <v>5680</v>
      </c>
      <c r="E225" s="1546">
        <v>6020</v>
      </c>
      <c r="F225" s="1560">
        <v>1000</v>
      </c>
    </row>
    <row r="226" spans="1:6" s="1540" customFormat="1" ht="14.25" customHeight="1" thickBot="1">
      <c r="A226" s="1552" t="s">
        <v>1889</v>
      </c>
      <c r="B226" s="1546" t="s">
        <v>1758</v>
      </c>
      <c r="C226" s="1546">
        <v>4970</v>
      </c>
      <c r="D226" s="1546">
        <v>4940</v>
      </c>
      <c r="E226" s="1546">
        <v>5180</v>
      </c>
      <c r="F226" s="1560">
        <v>960</v>
      </c>
    </row>
    <row r="227" spans="1:6" s="1540" customFormat="1" ht="14.25" customHeight="1" thickBot="1">
      <c r="A227" s="1552" t="s">
        <v>1889</v>
      </c>
      <c r="B227" s="1546" t="s">
        <v>1766</v>
      </c>
      <c r="C227" s="1546">
        <v>5550</v>
      </c>
      <c r="D227" s="1546">
        <v>5500</v>
      </c>
      <c r="E227" s="1546">
        <v>5780</v>
      </c>
      <c r="F227" s="1560">
        <v>940</v>
      </c>
    </row>
    <row r="228" spans="1:6" s="1540" customFormat="1" ht="14.25" customHeight="1" thickBot="1">
      <c r="A228" s="1552" t="s">
        <v>1889</v>
      </c>
      <c r="B228" s="1546" t="s">
        <v>1773</v>
      </c>
      <c r="C228" s="1546">
        <v>5460</v>
      </c>
      <c r="D228" s="1546">
        <v>5420</v>
      </c>
      <c r="E228" s="1546">
        <v>5690</v>
      </c>
      <c r="F228" s="1560">
        <v>910</v>
      </c>
    </row>
    <row r="229" spans="1:6" s="1540" customFormat="1" ht="14.25" customHeight="1" thickBot="1">
      <c r="A229" s="1552" t="s">
        <v>1889</v>
      </c>
      <c r="B229" s="1546" t="s">
        <v>1780</v>
      </c>
      <c r="C229" s="1546">
        <v>5310</v>
      </c>
      <c r="D229" s="1546">
        <v>5270</v>
      </c>
      <c r="E229" s="1546">
        <v>5510</v>
      </c>
      <c r="F229" s="1564"/>
    </row>
    <row r="230" spans="1:6" s="1540" customFormat="1" ht="14.25" customHeight="1" thickBot="1">
      <c r="A230" s="1552" t="s">
        <v>1889</v>
      </c>
      <c r="B230" s="1546" t="s">
        <v>1787</v>
      </c>
      <c r="C230" s="1546">
        <v>4540</v>
      </c>
      <c r="D230" s="1546">
        <v>4500</v>
      </c>
      <c r="E230" s="1546">
        <v>4730</v>
      </c>
      <c r="F230" s="1564"/>
    </row>
    <row r="231" spans="1:6" s="1540" customFormat="1" ht="14.25" customHeight="1" thickBot="1">
      <c r="A231" s="1552" t="s">
        <v>1889</v>
      </c>
      <c r="B231" s="1546" t="s">
        <v>1794</v>
      </c>
      <c r="C231" s="1546">
        <v>4480</v>
      </c>
      <c r="D231" s="1546">
        <v>4410</v>
      </c>
      <c r="E231" s="1546">
        <v>4640</v>
      </c>
      <c r="F231" s="1564"/>
    </row>
    <row r="232" spans="1:6" s="1540" customFormat="1" ht="14.25" customHeight="1" thickBot="1">
      <c r="A232" s="1552" t="s">
        <v>1889</v>
      </c>
      <c r="B232" s="1546" t="s">
        <v>1801</v>
      </c>
      <c r="C232" s="1546">
        <v>5670</v>
      </c>
      <c r="D232" s="1546">
        <v>5600</v>
      </c>
      <c r="E232" s="1546">
        <v>5890</v>
      </c>
      <c r="F232" s="1560">
        <v>1150</v>
      </c>
    </row>
    <row r="233" spans="1:6" s="1540" customFormat="1" ht="14.25" customHeight="1" thickBot="1">
      <c r="A233" s="1552" t="s">
        <v>1889</v>
      </c>
      <c r="B233" s="1546" t="s">
        <v>1808</v>
      </c>
      <c r="C233" s="1546">
        <v>4590</v>
      </c>
      <c r="D233" s="1546">
        <v>4500</v>
      </c>
      <c r="E233" s="1546">
        <v>4600</v>
      </c>
      <c r="F233" s="1564"/>
    </row>
    <row r="234" spans="1:6" s="1540" customFormat="1" ht="14.25" customHeight="1" thickBot="1">
      <c r="A234" s="1552" t="s">
        <v>1889</v>
      </c>
      <c r="B234" s="1546" t="s">
        <v>2890</v>
      </c>
      <c r="C234" s="1546">
        <v>3990</v>
      </c>
      <c r="D234" s="1546">
        <v>3950</v>
      </c>
      <c r="E234" s="1546">
        <v>4180</v>
      </c>
      <c r="F234" s="1564"/>
    </row>
    <row r="235" spans="1:6" s="1540" customFormat="1" ht="14.25" customHeight="1" thickBot="1">
      <c r="A235" s="1552" t="s">
        <v>1889</v>
      </c>
      <c r="B235" s="1546" t="s">
        <v>1817</v>
      </c>
      <c r="C235" s="1546">
        <v>5590</v>
      </c>
      <c r="D235" s="1546">
        <v>5540</v>
      </c>
      <c r="E235" s="1546">
        <v>5810</v>
      </c>
      <c r="F235" s="1560">
        <v>970</v>
      </c>
    </row>
    <row r="236" spans="1:6" s="1540" customFormat="1" ht="14.25" customHeight="1" thickBot="1">
      <c r="A236" s="1552" t="s">
        <v>1889</v>
      </c>
      <c r="B236" s="1546" t="s">
        <v>1822</v>
      </c>
      <c r="C236" s="1546"/>
      <c r="D236" s="1546"/>
      <c r="E236" s="1546"/>
      <c r="F236" s="1560">
        <v>1020</v>
      </c>
    </row>
    <row r="237" spans="1:6" s="1540" customFormat="1" ht="14.25" customHeight="1" thickBot="1">
      <c r="A237" s="1552" t="s">
        <v>1889</v>
      </c>
      <c r="B237" s="1546" t="s">
        <v>1827</v>
      </c>
      <c r="C237" s="1546"/>
      <c r="D237" s="1546"/>
      <c r="E237" s="1546"/>
      <c r="F237" s="1560">
        <v>960</v>
      </c>
    </row>
    <row r="238" spans="1:6" s="1540" customFormat="1" ht="14.25" customHeight="1" thickBot="1">
      <c r="A238" s="1552" t="s">
        <v>1889</v>
      </c>
      <c r="B238" s="1546" t="s">
        <v>1832</v>
      </c>
      <c r="C238" s="1546"/>
      <c r="D238" s="1546"/>
      <c r="E238" s="1546"/>
      <c r="F238" s="1560">
        <v>960</v>
      </c>
    </row>
    <row r="239" spans="1:6" s="1540" customFormat="1" ht="14.25" customHeight="1" thickBot="1">
      <c r="A239" s="1552" t="s">
        <v>1889</v>
      </c>
      <c r="B239" s="1546" t="s">
        <v>1837</v>
      </c>
      <c r="C239" s="1546"/>
      <c r="D239" s="1546"/>
      <c r="E239" s="1546"/>
      <c r="F239" s="1560">
        <v>960</v>
      </c>
    </row>
    <row r="240" spans="1:6" s="1540" customFormat="1" ht="14.25" customHeight="1" thickBot="1">
      <c r="A240" s="1552" t="s">
        <v>1889</v>
      </c>
      <c r="B240" s="1546" t="s">
        <v>1841</v>
      </c>
      <c r="C240" s="1546"/>
      <c r="D240" s="1546"/>
      <c r="E240" s="1546"/>
      <c r="F240" s="1560">
        <v>990</v>
      </c>
    </row>
    <row r="241" spans="1:6" s="1540" customFormat="1" ht="14.25" customHeight="1" thickBot="1">
      <c r="A241" s="1552" t="s">
        <v>1889</v>
      </c>
      <c r="B241" s="1546" t="s">
        <v>1845</v>
      </c>
      <c r="C241" s="1546"/>
      <c r="D241" s="1546"/>
      <c r="E241" s="1546"/>
      <c r="F241" s="1560">
        <v>1000</v>
      </c>
    </row>
    <row r="242" spans="1:6" s="1540" customFormat="1" ht="14.25" customHeight="1" thickBot="1">
      <c r="A242" s="1552" t="s">
        <v>1889</v>
      </c>
      <c r="B242" s="1546" t="s">
        <v>1849</v>
      </c>
      <c r="C242" s="1546"/>
      <c r="D242" s="1546"/>
      <c r="E242" s="1546"/>
      <c r="F242" s="1560">
        <v>980</v>
      </c>
    </row>
    <row r="243" spans="1:6" s="1540" customFormat="1" ht="14.25" customHeight="1" thickBot="1">
      <c r="A243" s="1552" t="s">
        <v>1889</v>
      </c>
      <c r="B243" s="1546" t="s">
        <v>1853</v>
      </c>
      <c r="C243" s="1546"/>
      <c r="D243" s="1546"/>
      <c r="E243" s="1546"/>
      <c r="F243" s="1560">
        <v>970</v>
      </c>
    </row>
    <row r="244" spans="1:6" s="1540" customFormat="1" ht="14.25" customHeight="1" thickBot="1">
      <c r="A244" s="1552" t="s">
        <v>1889</v>
      </c>
      <c r="B244" s="1558" t="s">
        <v>1857</v>
      </c>
      <c r="C244" s="1558"/>
      <c r="D244" s="1558"/>
      <c r="E244" s="1558"/>
      <c r="F244" s="1563">
        <v>970</v>
      </c>
    </row>
    <row r="245" spans="1:6" s="1540" customFormat="1" ht="14.25" customHeight="1" thickBot="1">
      <c r="A245" s="1552" t="s">
        <v>1891</v>
      </c>
      <c r="B245" s="1553" t="s">
        <v>1892</v>
      </c>
      <c r="C245" s="1553">
        <v>4050</v>
      </c>
      <c r="D245" s="1553">
        <v>4020</v>
      </c>
      <c r="E245" s="1553">
        <v>4160</v>
      </c>
      <c r="F245" s="1554">
        <v>840</v>
      </c>
    </row>
    <row r="246" spans="1:6" s="1540" customFormat="1" ht="14.25" customHeight="1" thickBot="1">
      <c r="A246" s="1552" t="s">
        <v>1891</v>
      </c>
      <c r="B246" s="1546" t="s">
        <v>1556</v>
      </c>
      <c r="C246" s="1546">
        <v>4010</v>
      </c>
      <c r="D246" s="1546">
        <v>3960</v>
      </c>
      <c r="E246" s="1546">
        <v>4130</v>
      </c>
      <c r="F246" s="1560">
        <v>840</v>
      </c>
    </row>
    <row r="247" spans="1:6" s="1540" customFormat="1" ht="14.25" customHeight="1" thickBot="1">
      <c r="A247" s="1552" t="s">
        <v>1891</v>
      </c>
      <c r="B247" s="1546" t="s">
        <v>1893</v>
      </c>
      <c r="C247" s="1546">
        <v>3170</v>
      </c>
      <c r="D247" s="1546">
        <v>3140</v>
      </c>
      <c r="E247" s="1546">
        <v>3270</v>
      </c>
      <c r="F247" s="1560">
        <v>640</v>
      </c>
    </row>
    <row r="248" spans="1:6" s="1540" customFormat="1" ht="14.25" customHeight="1" thickBot="1">
      <c r="A248" s="1552" t="s">
        <v>1891</v>
      </c>
      <c r="B248" s="1546" t="s">
        <v>1894</v>
      </c>
      <c r="C248" s="1546">
        <v>3140</v>
      </c>
      <c r="D248" s="1546">
        <v>3120</v>
      </c>
      <c r="E248" s="1546">
        <v>3240</v>
      </c>
      <c r="F248" s="1560">
        <v>620</v>
      </c>
    </row>
    <row r="249" spans="1:6" s="1540" customFormat="1" ht="14.25" customHeight="1" thickBot="1">
      <c r="A249" s="1552" t="s">
        <v>1891</v>
      </c>
      <c r="B249" s="1546" t="s">
        <v>1594</v>
      </c>
      <c r="C249" s="1546">
        <v>3200</v>
      </c>
      <c r="D249" s="1546">
        <v>3100</v>
      </c>
      <c r="E249" s="1546">
        <v>3230</v>
      </c>
      <c r="F249" s="1560">
        <v>750</v>
      </c>
    </row>
    <row r="250" spans="1:6" s="1540" customFormat="1" ht="14.25" customHeight="1" thickBot="1">
      <c r="A250" s="1552" t="s">
        <v>1891</v>
      </c>
      <c r="B250" s="1546" t="s">
        <v>1605</v>
      </c>
      <c r="C250" s="1546">
        <v>4060</v>
      </c>
      <c r="D250" s="1546">
        <v>4000</v>
      </c>
      <c r="E250" s="1546">
        <v>4140</v>
      </c>
      <c r="F250" s="1560">
        <v>790</v>
      </c>
    </row>
    <row r="251" spans="1:6" s="1540" customFormat="1" ht="14.25" customHeight="1" thickBot="1">
      <c r="A251" s="1552" t="s">
        <v>1891</v>
      </c>
      <c r="B251" s="1546" t="s">
        <v>1616</v>
      </c>
      <c r="C251" s="1546">
        <v>3990</v>
      </c>
      <c r="D251" s="1546">
        <v>3970</v>
      </c>
      <c r="E251" s="1546">
        <v>4110</v>
      </c>
      <c r="F251" s="1560">
        <v>730</v>
      </c>
    </row>
    <row r="252" spans="1:6" s="1540" customFormat="1" ht="14.25" customHeight="1" thickBot="1">
      <c r="A252" s="1552" t="s">
        <v>1891</v>
      </c>
      <c r="B252" s="1546" t="s">
        <v>1627</v>
      </c>
      <c r="C252" s="1546">
        <v>3560</v>
      </c>
      <c r="D252" s="1546">
        <v>3530</v>
      </c>
      <c r="E252" s="1546">
        <v>3650</v>
      </c>
      <c r="F252" s="1560">
        <v>750</v>
      </c>
    </row>
    <row r="253" spans="1:6" s="1540" customFormat="1" ht="14.25" customHeight="1" thickBot="1">
      <c r="A253" s="1552" t="s">
        <v>1891</v>
      </c>
      <c r="B253" s="1546" t="s">
        <v>1639</v>
      </c>
      <c r="C253" s="1546">
        <v>3780</v>
      </c>
      <c r="D253" s="1546">
        <v>3750</v>
      </c>
      <c r="E253" s="1546">
        <v>3870</v>
      </c>
      <c r="F253" s="1560">
        <v>770</v>
      </c>
    </row>
    <row r="254" spans="1:6" s="1540" customFormat="1" ht="14.25" customHeight="1" thickBot="1">
      <c r="A254" s="1552" t="s">
        <v>1891</v>
      </c>
      <c r="B254" s="1546" t="s">
        <v>1649</v>
      </c>
      <c r="C254" s="1565"/>
      <c r="D254" s="1565"/>
      <c r="E254" s="1565"/>
      <c r="F254" s="1560">
        <v>740</v>
      </c>
    </row>
    <row r="255" spans="1:6" s="1540" customFormat="1" ht="14.25" customHeight="1" thickBot="1">
      <c r="A255" s="1552" t="s">
        <v>1891</v>
      </c>
      <c r="B255" s="1546" t="s">
        <v>1659</v>
      </c>
      <c r="C255" s="1565"/>
      <c r="D255" s="1565"/>
      <c r="E255" s="1565"/>
      <c r="F255" s="1560">
        <v>760</v>
      </c>
    </row>
    <row r="256" spans="1:6" s="1540" customFormat="1" ht="14.25" customHeight="1" thickBot="1">
      <c r="A256" s="1552" t="s">
        <v>1891</v>
      </c>
      <c r="B256" s="1546" t="s">
        <v>1669</v>
      </c>
      <c r="C256" s="1546">
        <v>3760</v>
      </c>
      <c r="D256" s="1546">
        <v>3730</v>
      </c>
      <c r="E256" s="1546">
        <v>3870</v>
      </c>
      <c r="F256" s="1560">
        <v>830</v>
      </c>
    </row>
    <row r="257" spans="1:6" s="1540" customFormat="1" ht="14.25" customHeight="1" thickBot="1">
      <c r="A257" s="1552" t="s">
        <v>1891</v>
      </c>
      <c r="B257" s="1546" t="s">
        <v>1679</v>
      </c>
      <c r="C257" s="1546">
        <v>3570</v>
      </c>
      <c r="D257" s="1546">
        <v>3540</v>
      </c>
      <c r="E257" s="1546">
        <v>3650</v>
      </c>
      <c r="F257" s="1560">
        <v>790</v>
      </c>
    </row>
    <row r="258" spans="1:6" s="1540" customFormat="1" ht="14.25" customHeight="1" thickBot="1">
      <c r="A258" s="1552" t="s">
        <v>1891</v>
      </c>
      <c r="B258" s="1546" t="s">
        <v>1690</v>
      </c>
      <c r="C258" s="1546">
        <v>3410</v>
      </c>
      <c r="D258" s="1546">
        <v>3380</v>
      </c>
      <c r="E258" s="1546">
        <v>3500</v>
      </c>
      <c r="F258" s="1560">
        <v>830</v>
      </c>
    </row>
    <row r="259" spans="1:6" s="1540" customFormat="1" ht="14.25" customHeight="1" thickBot="1">
      <c r="A259" s="1552" t="s">
        <v>1891</v>
      </c>
      <c r="B259" s="1546" t="s">
        <v>1701</v>
      </c>
      <c r="C259" s="1546">
        <v>3870</v>
      </c>
      <c r="D259" s="1546">
        <v>3840</v>
      </c>
      <c r="E259" s="1546">
        <v>3970</v>
      </c>
      <c r="F259" s="1560">
        <v>830</v>
      </c>
    </row>
    <row r="260" spans="1:6" s="1540" customFormat="1" ht="14.25" customHeight="1" thickBot="1">
      <c r="A260" s="1552" t="s">
        <v>1891</v>
      </c>
      <c r="B260" s="1546" t="s">
        <v>1711</v>
      </c>
      <c r="C260" s="1546">
        <v>3700</v>
      </c>
      <c r="D260" s="1546">
        <v>3660</v>
      </c>
      <c r="E260" s="1546">
        <v>3810</v>
      </c>
      <c r="F260" s="1560">
        <v>790</v>
      </c>
    </row>
    <row r="261" spans="1:6" s="1540" customFormat="1" ht="14.25" customHeight="1" thickBot="1">
      <c r="A261" s="1552" t="s">
        <v>1891</v>
      </c>
      <c r="B261" s="1546" t="s">
        <v>1721</v>
      </c>
      <c r="C261" s="1546">
        <v>3470</v>
      </c>
      <c r="D261" s="1546">
        <v>3430</v>
      </c>
      <c r="E261" s="1546">
        <v>3640</v>
      </c>
      <c r="F261" s="1560">
        <v>760</v>
      </c>
    </row>
    <row r="262" spans="1:6" s="1540" customFormat="1" ht="14.25" customHeight="1" thickBot="1">
      <c r="A262" s="1552" t="s">
        <v>1891</v>
      </c>
      <c r="B262" s="1546" t="s">
        <v>1731</v>
      </c>
      <c r="C262" s="1546">
        <v>3510</v>
      </c>
      <c r="D262" s="1546">
        <v>3470</v>
      </c>
      <c r="E262" s="1546">
        <v>3680</v>
      </c>
      <c r="F262" s="1564"/>
    </row>
    <row r="263" spans="1:6" s="1540" customFormat="1" ht="14.25" customHeight="1" thickBot="1">
      <c r="A263" s="1552" t="s">
        <v>1891</v>
      </c>
      <c r="B263" s="1546" t="s">
        <v>1741</v>
      </c>
      <c r="C263" s="1546">
        <v>3960</v>
      </c>
      <c r="D263" s="1546">
        <v>3930</v>
      </c>
      <c r="E263" s="1546">
        <v>4070</v>
      </c>
      <c r="F263" s="1560">
        <v>830</v>
      </c>
    </row>
    <row r="264" spans="1:6" s="1540" customFormat="1" ht="14.25" customHeight="1" thickBot="1">
      <c r="A264" s="1552" t="s">
        <v>1891</v>
      </c>
      <c r="B264" s="1546" t="s">
        <v>1750</v>
      </c>
      <c r="C264" s="1546">
        <v>4010</v>
      </c>
      <c r="D264" s="1546">
        <v>3980</v>
      </c>
      <c r="E264" s="1546">
        <v>4150</v>
      </c>
      <c r="F264" s="1560">
        <v>760</v>
      </c>
    </row>
    <row r="265" spans="1:6" s="1540" customFormat="1" ht="14.25" customHeight="1" thickBot="1">
      <c r="A265" s="1552" t="s">
        <v>1891</v>
      </c>
      <c r="B265" s="1546" t="s">
        <v>1759</v>
      </c>
      <c r="C265" s="1546">
        <v>3910</v>
      </c>
      <c r="D265" s="1546">
        <v>3890</v>
      </c>
      <c r="E265" s="1546">
        <v>4040</v>
      </c>
      <c r="F265" s="1560">
        <v>780</v>
      </c>
    </row>
    <row r="266" spans="1:6" s="1540" customFormat="1" ht="14.25" customHeight="1" thickBot="1">
      <c r="A266" s="1552" t="s">
        <v>1891</v>
      </c>
      <c r="B266" s="1546" t="s">
        <v>1767</v>
      </c>
      <c r="C266" s="1546">
        <v>3930</v>
      </c>
      <c r="D266" s="1546">
        <v>3900</v>
      </c>
      <c r="E266" s="1546">
        <v>4080</v>
      </c>
      <c r="F266" s="1560">
        <v>770</v>
      </c>
    </row>
    <row r="267" spans="1:6" s="1540" customFormat="1" ht="14.25" customHeight="1" thickBot="1">
      <c r="A267" s="1552" t="s">
        <v>1891</v>
      </c>
      <c r="B267" s="1546" t="s">
        <v>1774</v>
      </c>
      <c r="C267" s="1546">
        <v>3800</v>
      </c>
      <c r="D267" s="1546">
        <v>3780</v>
      </c>
      <c r="E267" s="1546">
        <v>3930</v>
      </c>
      <c r="F267" s="1564"/>
    </row>
    <row r="268" spans="1:6" s="1540" customFormat="1" ht="14.25" customHeight="1" thickBot="1">
      <c r="A268" s="1552" t="s">
        <v>1891</v>
      </c>
      <c r="B268" s="1546" t="s">
        <v>1781</v>
      </c>
      <c r="C268" s="1546">
        <v>3460</v>
      </c>
      <c r="D268" s="1546">
        <v>3430</v>
      </c>
      <c r="E268" s="1546">
        <v>3560</v>
      </c>
      <c r="F268" s="1560">
        <v>840</v>
      </c>
    </row>
    <row r="269" spans="1:6" s="1540" customFormat="1" ht="14.25" customHeight="1" thickBot="1">
      <c r="A269" s="1552" t="s">
        <v>1891</v>
      </c>
      <c r="B269" s="1546" t="s">
        <v>1788</v>
      </c>
      <c r="C269" s="1546">
        <v>3210</v>
      </c>
      <c r="D269" s="1546">
        <v>3190</v>
      </c>
      <c r="E269" s="1546">
        <v>3310</v>
      </c>
      <c r="F269" s="1560">
        <v>730</v>
      </c>
    </row>
    <row r="270" spans="1:6" s="1540" customFormat="1" ht="14.25" customHeight="1" thickBot="1">
      <c r="A270" s="1552" t="s">
        <v>1891</v>
      </c>
      <c r="B270" s="1546" t="s">
        <v>1795</v>
      </c>
      <c r="C270" s="1546">
        <v>3240</v>
      </c>
      <c r="D270" s="1546">
        <v>3210</v>
      </c>
      <c r="E270" s="1546">
        <v>3390</v>
      </c>
      <c r="F270" s="1560">
        <v>820</v>
      </c>
    </row>
    <row r="271" spans="1:6" s="1540" customFormat="1" ht="14.25" customHeight="1" thickBot="1">
      <c r="A271" s="1552" t="s">
        <v>1891</v>
      </c>
      <c r="B271" s="1546" t="s">
        <v>1802</v>
      </c>
      <c r="C271" s="1546">
        <v>3300</v>
      </c>
      <c r="D271" s="1546">
        <v>3270</v>
      </c>
      <c r="E271" s="1546">
        <v>3380</v>
      </c>
      <c r="F271" s="1560">
        <v>750</v>
      </c>
    </row>
    <row r="272" spans="1:6" s="1540" customFormat="1" ht="14.25" customHeight="1" thickBot="1">
      <c r="A272" s="1552" t="s">
        <v>1891</v>
      </c>
      <c r="B272" s="1546" t="s">
        <v>1809</v>
      </c>
      <c r="C272" s="1565"/>
      <c r="D272" s="1565"/>
      <c r="E272" s="1565"/>
      <c r="F272" s="1560">
        <v>740</v>
      </c>
    </row>
    <row r="273" spans="1:6" s="1540" customFormat="1" ht="14.25" customHeight="1" thickBot="1">
      <c r="A273" s="1552" t="s">
        <v>1891</v>
      </c>
      <c r="B273" s="1546" t="s">
        <v>1813</v>
      </c>
      <c r="C273" s="1546">
        <v>3130</v>
      </c>
      <c r="D273" s="1546">
        <v>3100</v>
      </c>
      <c r="E273" s="1546">
        <v>3230</v>
      </c>
      <c r="F273" s="1560">
        <v>700</v>
      </c>
    </row>
    <row r="274" spans="1:6" s="1540" customFormat="1" ht="14.25" customHeight="1" thickBot="1">
      <c r="A274" s="1552" t="s">
        <v>1891</v>
      </c>
      <c r="B274" s="1546" t="s">
        <v>1818</v>
      </c>
      <c r="C274" s="1546">
        <v>3460</v>
      </c>
      <c r="D274" s="1546">
        <v>3430</v>
      </c>
      <c r="E274" s="1546">
        <v>3560</v>
      </c>
      <c r="F274" s="1560">
        <v>690</v>
      </c>
    </row>
    <row r="275" spans="1:6" s="1540" customFormat="1" ht="14.25" customHeight="1" thickBot="1">
      <c r="A275" s="1552" t="s">
        <v>1891</v>
      </c>
      <c r="B275" s="1546" t="s">
        <v>1823</v>
      </c>
      <c r="C275" s="1546">
        <v>4040</v>
      </c>
      <c r="D275" s="1546">
        <v>4020</v>
      </c>
      <c r="E275" s="1546">
        <v>4160</v>
      </c>
      <c r="F275" s="1560">
        <v>820</v>
      </c>
    </row>
    <row r="276" spans="1:6" s="1540" customFormat="1" ht="14.25" customHeight="1" thickBot="1">
      <c r="A276" s="1552" t="s">
        <v>1891</v>
      </c>
      <c r="B276" s="1546" t="s">
        <v>1828</v>
      </c>
      <c r="C276" s="1546">
        <v>3270</v>
      </c>
      <c r="D276" s="1546">
        <v>3240</v>
      </c>
      <c r="E276" s="1546">
        <v>3350</v>
      </c>
      <c r="F276" s="1560">
        <v>680</v>
      </c>
    </row>
    <row r="277" spans="1:6" s="1540" customFormat="1" ht="14.25" customHeight="1" thickBot="1">
      <c r="A277" s="1552" t="s">
        <v>1891</v>
      </c>
      <c r="B277" s="1546" t="s">
        <v>1833</v>
      </c>
      <c r="C277" s="1546">
        <v>2930</v>
      </c>
      <c r="D277" s="1546">
        <v>2900</v>
      </c>
      <c r="E277" s="1546">
        <v>3000</v>
      </c>
      <c r="F277" s="1560">
        <v>640</v>
      </c>
    </row>
    <row r="278" spans="1:6" s="1540" customFormat="1" ht="14.25" customHeight="1" thickBot="1">
      <c r="A278" s="1552" t="s">
        <v>1891</v>
      </c>
      <c r="B278" s="1546" t="s">
        <v>1838</v>
      </c>
      <c r="C278" s="1546">
        <v>4080</v>
      </c>
      <c r="D278" s="1546">
        <v>4030</v>
      </c>
      <c r="E278" s="1546">
        <v>4140</v>
      </c>
      <c r="F278" s="1560">
        <v>850</v>
      </c>
    </row>
    <row r="279" spans="1:6" s="1540" customFormat="1" ht="14.25" customHeight="1" thickBot="1">
      <c r="A279" s="1552" t="s">
        <v>1891</v>
      </c>
      <c r="B279" s="1546" t="s">
        <v>1842</v>
      </c>
      <c r="C279" s="1546"/>
      <c r="D279" s="1546"/>
      <c r="E279" s="1546"/>
      <c r="F279" s="1560">
        <v>760</v>
      </c>
    </row>
    <row r="280" spans="1:6" s="1540" customFormat="1" ht="14.25" customHeight="1" thickBot="1">
      <c r="A280" s="1552" t="s">
        <v>1891</v>
      </c>
      <c r="B280" s="1546" t="s">
        <v>1846</v>
      </c>
      <c r="C280" s="1546"/>
      <c r="D280" s="1546"/>
      <c r="E280" s="1546"/>
      <c r="F280" s="1560">
        <v>760</v>
      </c>
    </row>
    <row r="281" spans="1:6" s="1540" customFormat="1" ht="14.25" customHeight="1" thickBot="1">
      <c r="A281" s="1552" t="s">
        <v>1891</v>
      </c>
      <c r="B281" s="1546" t="s">
        <v>1850</v>
      </c>
      <c r="C281" s="1546"/>
      <c r="D281" s="1546"/>
      <c r="E281" s="1546"/>
      <c r="F281" s="1560">
        <v>780</v>
      </c>
    </row>
    <row r="282" spans="1:6" s="1540" customFormat="1" ht="14.25" customHeight="1" thickBot="1">
      <c r="A282" s="1552" t="s">
        <v>1891</v>
      </c>
      <c r="B282" s="1546" t="s">
        <v>1854</v>
      </c>
      <c r="C282" s="1546"/>
      <c r="D282" s="1546"/>
      <c r="E282" s="1546"/>
      <c r="F282" s="1560">
        <v>730</v>
      </c>
    </row>
    <row r="283" spans="1:6" s="1540" customFormat="1" ht="14.25" customHeight="1" thickBot="1">
      <c r="A283" s="1552" t="s">
        <v>1891</v>
      </c>
      <c r="B283" s="1546" t="s">
        <v>1858</v>
      </c>
      <c r="C283" s="1546"/>
      <c r="D283" s="1546"/>
      <c r="E283" s="1546"/>
      <c r="F283" s="1560">
        <v>770</v>
      </c>
    </row>
    <row r="284" spans="1:6" s="1540" customFormat="1" ht="14.25" customHeight="1" thickBot="1">
      <c r="A284" s="1552" t="s">
        <v>1891</v>
      </c>
      <c r="B284" s="1546" t="s">
        <v>1861</v>
      </c>
      <c r="C284" s="1546"/>
      <c r="D284" s="1546"/>
      <c r="E284" s="1546"/>
      <c r="F284" s="1560">
        <v>640</v>
      </c>
    </row>
    <row r="285" spans="1:6" s="1540" customFormat="1" ht="14.25" customHeight="1" thickBot="1">
      <c r="A285" s="1552" t="s">
        <v>1891</v>
      </c>
      <c r="B285" s="1546" t="s">
        <v>1864</v>
      </c>
      <c r="C285" s="1546"/>
      <c r="D285" s="1546"/>
      <c r="E285" s="1546"/>
      <c r="F285" s="1560">
        <v>640</v>
      </c>
    </row>
    <row r="286" spans="1:6" s="1540" customFormat="1" ht="14.25" customHeight="1" thickBot="1">
      <c r="A286" s="1552" t="s">
        <v>1891</v>
      </c>
      <c r="B286" s="1546" t="s">
        <v>1867</v>
      </c>
      <c r="C286" s="1546"/>
      <c r="D286" s="1546"/>
      <c r="E286" s="1546"/>
      <c r="F286" s="1560">
        <v>850</v>
      </c>
    </row>
    <row r="287" spans="1:6" s="1540" customFormat="1" ht="14.25" customHeight="1" thickBot="1">
      <c r="A287" s="1552" t="s">
        <v>1891</v>
      </c>
      <c r="B287" s="1546" t="s">
        <v>1870</v>
      </c>
      <c r="C287" s="1546"/>
      <c r="D287" s="1546"/>
      <c r="E287" s="1546"/>
      <c r="F287" s="1560">
        <v>760</v>
      </c>
    </row>
    <row r="288" spans="1:6" s="1540" customFormat="1" ht="14.25" customHeight="1" thickBot="1">
      <c r="A288" s="1552" t="s">
        <v>1891</v>
      </c>
      <c r="B288" s="1546" t="s">
        <v>1873</v>
      </c>
      <c r="C288" s="1546"/>
      <c r="D288" s="1546"/>
      <c r="E288" s="1546"/>
      <c r="F288" s="1560">
        <v>830</v>
      </c>
    </row>
    <row r="289" spans="1:6" s="1540" customFormat="1" ht="14.25" customHeight="1" thickBot="1">
      <c r="A289" s="1552" t="s">
        <v>1891</v>
      </c>
      <c r="B289" s="1558" t="s">
        <v>1876</v>
      </c>
      <c r="C289" s="1558"/>
      <c r="D289" s="1558"/>
      <c r="E289" s="1558"/>
      <c r="F289" s="1563">
        <v>680</v>
      </c>
    </row>
    <row r="290" spans="1:6" s="1540" customFormat="1" ht="14.25" customHeight="1" thickBot="1">
      <c r="A290" s="1552" t="s">
        <v>1895</v>
      </c>
      <c r="B290" s="1553" t="s">
        <v>1896</v>
      </c>
      <c r="C290" s="1553">
        <v>2770</v>
      </c>
      <c r="D290" s="1553">
        <v>2740</v>
      </c>
      <c r="E290" s="1553">
        <v>2720</v>
      </c>
      <c r="F290" s="1566"/>
    </row>
    <row r="291" spans="1:6" s="1540" customFormat="1" ht="14.25" customHeight="1" thickBot="1">
      <c r="A291" s="1552" t="s">
        <v>1895</v>
      </c>
      <c r="B291" s="1546" t="s">
        <v>1557</v>
      </c>
      <c r="C291" s="1546">
        <v>2670</v>
      </c>
      <c r="D291" s="1546">
        <v>2640</v>
      </c>
      <c r="E291" s="1546">
        <v>2620</v>
      </c>
      <c r="F291" s="1564"/>
    </row>
    <row r="292" spans="1:6" s="1540" customFormat="1" ht="14.25" customHeight="1" thickBot="1">
      <c r="A292" s="1552" t="s">
        <v>1895</v>
      </c>
      <c r="B292" s="1546" t="s">
        <v>1897</v>
      </c>
      <c r="C292" s="1546">
        <v>2180</v>
      </c>
      <c r="D292" s="1546">
        <v>2140</v>
      </c>
      <c r="E292" s="1546">
        <v>2120</v>
      </c>
      <c r="F292" s="1560">
        <v>490</v>
      </c>
    </row>
    <row r="293" spans="1:6" s="1540" customFormat="1" ht="14.25" customHeight="1" thickBot="1">
      <c r="A293" s="1552" t="s">
        <v>1895</v>
      </c>
      <c r="B293" s="1546" t="s">
        <v>1898</v>
      </c>
      <c r="C293" s="1546"/>
      <c r="D293" s="1546"/>
      <c r="E293" s="1546"/>
      <c r="F293" s="1560">
        <v>470</v>
      </c>
    </row>
    <row r="294" spans="1:6" s="1540" customFormat="1" ht="14.25" customHeight="1" thickBot="1">
      <c r="A294" s="1552" t="s">
        <v>1895</v>
      </c>
      <c r="B294" s="1546" t="s">
        <v>1899</v>
      </c>
      <c r="C294" s="1546">
        <v>2730</v>
      </c>
      <c r="D294" s="1546">
        <v>2700</v>
      </c>
      <c r="E294" s="1546">
        <v>2680</v>
      </c>
      <c r="F294" s="1560">
        <v>490</v>
      </c>
    </row>
    <row r="295" spans="1:6" s="1540" customFormat="1" ht="14.25" customHeight="1" thickBot="1">
      <c r="A295" s="1552" t="s">
        <v>1895</v>
      </c>
      <c r="B295" s="1546" t="s">
        <v>1595</v>
      </c>
      <c r="C295" s="1546">
        <v>2380</v>
      </c>
      <c r="D295" s="1546">
        <v>2350</v>
      </c>
      <c r="E295" s="1546">
        <v>2330</v>
      </c>
      <c r="F295" s="1560">
        <v>530</v>
      </c>
    </row>
    <row r="296" spans="1:6" s="1540" customFormat="1" ht="14.25" customHeight="1" thickBot="1">
      <c r="A296" s="1552" t="s">
        <v>1895</v>
      </c>
      <c r="B296" s="1546" t="s">
        <v>1606</v>
      </c>
      <c r="C296" s="1546">
        <v>2650</v>
      </c>
      <c r="D296" s="1546">
        <v>2620</v>
      </c>
      <c r="E296" s="1546">
        <v>2590</v>
      </c>
      <c r="F296" s="1560">
        <v>590</v>
      </c>
    </row>
    <row r="297" spans="1:6" s="1540" customFormat="1" ht="14.25" customHeight="1" thickBot="1">
      <c r="A297" s="1552" t="s">
        <v>1895</v>
      </c>
      <c r="B297" s="1546" t="s">
        <v>1617</v>
      </c>
      <c r="C297" s="1546">
        <v>2700</v>
      </c>
      <c r="D297" s="1546">
        <v>2670</v>
      </c>
      <c r="E297" s="1546">
        <v>2650</v>
      </c>
      <c r="F297" s="1560">
        <v>630</v>
      </c>
    </row>
    <row r="298" spans="1:6" s="1540" customFormat="1" ht="14.25" customHeight="1" thickBot="1">
      <c r="A298" s="1552" t="s">
        <v>1895</v>
      </c>
      <c r="B298" s="1546" t="s">
        <v>1628</v>
      </c>
      <c r="C298" s="1546">
        <v>2650</v>
      </c>
      <c r="D298" s="1546">
        <v>2620</v>
      </c>
      <c r="E298" s="1546">
        <v>2590</v>
      </c>
      <c r="F298" s="1560">
        <v>640</v>
      </c>
    </row>
    <row r="299" spans="1:6" s="1540" customFormat="1" ht="14.25" customHeight="1" thickBot="1">
      <c r="A299" s="1552" t="s">
        <v>1895</v>
      </c>
      <c r="B299" s="1546" t="s">
        <v>1640</v>
      </c>
      <c r="C299" s="1546">
        <v>2500</v>
      </c>
      <c r="D299" s="1546">
        <v>2480</v>
      </c>
      <c r="E299" s="1546">
        <v>2460</v>
      </c>
      <c r="F299" s="1564"/>
    </row>
    <row r="300" spans="1:6" s="1540" customFormat="1" ht="14.25" customHeight="1" thickBot="1">
      <c r="A300" s="1552" t="s">
        <v>1895</v>
      </c>
      <c r="B300" s="1546" t="s">
        <v>1650</v>
      </c>
      <c r="C300" s="1546">
        <v>2760</v>
      </c>
      <c r="D300" s="1546">
        <v>2730</v>
      </c>
      <c r="E300" s="1546">
        <v>2700</v>
      </c>
      <c r="F300" s="1560">
        <v>630</v>
      </c>
    </row>
    <row r="301" spans="1:6" s="1540" customFormat="1" ht="14.25" customHeight="1" thickBot="1">
      <c r="A301" s="1552" t="s">
        <v>1895</v>
      </c>
      <c r="B301" s="1546" t="s">
        <v>1660</v>
      </c>
      <c r="C301" s="1546">
        <v>2510</v>
      </c>
      <c r="D301" s="1546">
        <v>2480</v>
      </c>
      <c r="E301" s="1546">
        <v>2460</v>
      </c>
      <c r="F301" s="1564"/>
    </row>
    <row r="302" spans="1:6" s="1540" customFormat="1" ht="14.25" customHeight="1" thickBot="1">
      <c r="A302" s="1552" t="s">
        <v>1895</v>
      </c>
      <c r="B302" s="1546" t="s">
        <v>1670</v>
      </c>
      <c r="C302" s="1546">
        <v>2480</v>
      </c>
      <c r="D302" s="1546">
        <v>2450</v>
      </c>
      <c r="E302" s="1546">
        <v>2420</v>
      </c>
      <c r="F302" s="1560">
        <v>600</v>
      </c>
    </row>
    <row r="303" spans="1:6" s="1540" customFormat="1" ht="14.25" customHeight="1" thickBot="1">
      <c r="A303" s="1552" t="s">
        <v>1895</v>
      </c>
      <c r="B303" s="1546" t="s">
        <v>1680</v>
      </c>
      <c r="C303" s="1546">
        <v>2270</v>
      </c>
      <c r="D303" s="1546">
        <v>2240</v>
      </c>
      <c r="E303" s="1546">
        <v>2210</v>
      </c>
      <c r="F303" s="1560">
        <v>540</v>
      </c>
    </row>
    <row r="304" spans="1:6" s="1540" customFormat="1" ht="14.25" customHeight="1" thickBot="1">
      <c r="A304" s="1552" t="s">
        <v>1895</v>
      </c>
      <c r="B304" s="1546" t="s">
        <v>1691</v>
      </c>
      <c r="C304" s="1546">
        <v>2310</v>
      </c>
      <c r="D304" s="1546">
        <v>2290</v>
      </c>
      <c r="E304" s="1546">
        <v>2270</v>
      </c>
      <c r="F304" s="1564"/>
    </row>
    <row r="305" spans="1:6" s="1540" customFormat="1" ht="14.25" customHeight="1" thickBot="1">
      <c r="A305" s="1552" t="s">
        <v>1895</v>
      </c>
      <c r="B305" s="1546" t="s">
        <v>1702</v>
      </c>
      <c r="C305" s="1546">
        <v>2490</v>
      </c>
      <c r="D305" s="1546">
        <v>2470</v>
      </c>
      <c r="E305" s="1546">
        <v>2440</v>
      </c>
      <c r="F305" s="1560">
        <v>560</v>
      </c>
    </row>
    <row r="306" spans="1:6" s="1540" customFormat="1" ht="14.25" customHeight="1" thickBot="1">
      <c r="A306" s="1552" t="s">
        <v>1895</v>
      </c>
      <c r="B306" s="1546" t="s">
        <v>1712</v>
      </c>
      <c r="C306" s="1546">
        <v>2420</v>
      </c>
      <c r="D306" s="1546">
        <v>2400</v>
      </c>
      <c r="E306" s="1546">
        <v>2380</v>
      </c>
      <c r="F306" s="1564"/>
    </row>
    <row r="307" spans="1:6" s="1540" customFormat="1" ht="14.25" customHeight="1" thickBot="1">
      <c r="A307" s="1552" t="s">
        <v>1895</v>
      </c>
      <c r="B307" s="1546" t="s">
        <v>1722</v>
      </c>
      <c r="C307" s="1546">
        <v>2770</v>
      </c>
      <c r="D307" s="1546">
        <v>2740</v>
      </c>
      <c r="E307" s="1546">
        <v>2710</v>
      </c>
      <c r="F307" s="1560">
        <v>650</v>
      </c>
    </row>
    <row r="308" spans="1:6" s="1540" customFormat="1" ht="14.25" customHeight="1" thickBot="1">
      <c r="A308" s="1552" t="s">
        <v>1895</v>
      </c>
      <c r="B308" s="1546" t="s">
        <v>1732</v>
      </c>
      <c r="C308" s="1546">
        <v>2610</v>
      </c>
      <c r="D308" s="1546">
        <v>2580</v>
      </c>
      <c r="E308" s="1546">
        <v>2550</v>
      </c>
      <c r="F308" s="1560">
        <v>580</v>
      </c>
    </row>
    <row r="309" spans="1:6" s="1540" customFormat="1" ht="14.25" customHeight="1" thickBot="1">
      <c r="A309" s="1552" t="s">
        <v>1895</v>
      </c>
      <c r="B309" s="1546" t="s">
        <v>1742</v>
      </c>
      <c r="C309" s="1546">
        <v>2690</v>
      </c>
      <c r="D309" s="1546">
        <v>2670</v>
      </c>
      <c r="E309" s="1546">
        <v>2650</v>
      </c>
      <c r="F309" s="1564"/>
    </row>
    <row r="310" spans="1:6" s="1540" customFormat="1" ht="14.25" customHeight="1" thickBot="1">
      <c r="A310" s="1552" t="s">
        <v>1895</v>
      </c>
      <c r="B310" s="1546" t="s">
        <v>1751</v>
      </c>
      <c r="C310" s="1546">
        <v>2360</v>
      </c>
      <c r="D310" s="1546">
        <v>2330</v>
      </c>
      <c r="E310" s="1546">
        <v>2310</v>
      </c>
      <c r="F310" s="1560">
        <v>560</v>
      </c>
    </row>
    <row r="311" spans="1:6" s="1540" customFormat="1" ht="14.25" customHeight="1" thickBot="1">
      <c r="A311" s="1552" t="s">
        <v>1895</v>
      </c>
      <c r="B311" s="1546" t="s">
        <v>1760</v>
      </c>
      <c r="C311" s="1546">
        <v>1970</v>
      </c>
      <c r="D311" s="1546">
        <v>1950</v>
      </c>
      <c r="E311" s="1546">
        <v>1920</v>
      </c>
      <c r="F311" s="1560">
        <v>470</v>
      </c>
    </row>
    <row r="312" spans="1:6" s="1540" customFormat="1" ht="14.25" customHeight="1" thickBot="1">
      <c r="A312" s="1552" t="s">
        <v>1895</v>
      </c>
      <c r="B312" s="1546" t="s">
        <v>1768</v>
      </c>
      <c r="C312" s="1546">
        <v>2230</v>
      </c>
      <c r="D312" s="1546">
        <v>2200</v>
      </c>
      <c r="E312" s="1546">
        <v>2170</v>
      </c>
      <c r="F312" s="1560">
        <v>460</v>
      </c>
    </row>
    <row r="313" spans="1:6" s="1540" customFormat="1" ht="14.25" customHeight="1" thickBot="1">
      <c r="A313" s="1552" t="s">
        <v>1895</v>
      </c>
      <c r="B313" s="1546" t="s">
        <v>1775</v>
      </c>
      <c r="C313" s="1546">
        <v>2770</v>
      </c>
      <c r="D313" s="1546">
        <v>2740</v>
      </c>
      <c r="E313" s="1546">
        <v>2710</v>
      </c>
      <c r="F313" s="1560">
        <v>610</v>
      </c>
    </row>
    <row r="314" spans="1:6" s="1540" customFormat="1" ht="14.25" customHeight="1" thickBot="1">
      <c r="A314" s="1552" t="s">
        <v>1895</v>
      </c>
      <c r="B314" s="1546" t="s">
        <v>1782</v>
      </c>
      <c r="C314" s="1546"/>
      <c r="D314" s="1546"/>
      <c r="E314" s="1546"/>
      <c r="F314" s="1560">
        <v>490</v>
      </c>
    </row>
    <row r="315" spans="1:6" s="1540" customFormat="1" ht="14.25" customHeight="1" thickBot="1">
      <c r="A315" s="1552" t="s">
        <v>1895</v>
      </c>
      <c r="B315" s="1546" t="s">
        <v>1789</v>
      </c>
      <c r="C315" s="1546"/>
      <c r="D315" s="1546"/>
      <c r="E315" s="1546"/>
      <c r="F315" s="1560">
        <v>520</v>
      </c>
    </row>
    <row r="316" spans="1:6" s="1540" customFormat="1" ht="14.25" customHeight="1" thickBot="1">
      <c r="A316" s="1552" t="s">
        <v>1895</v>
      </c>
      <c r="B316" s="1558" t="s">
        <v>1796</v>
      </c>
      <c r="C316" s="1558"/>
      <c r="D316" s="1558"/>
      <c r="E316" s="1558"/>
      <c r="F316" s="1563">
        <v>460</v>
      </c>
    </row>
    <row r="317" spans="1:6" s="1540" customFormat="1" ht="14.25" customHeight="1" thickBot="1">
      <c r="A317" s="1552" t="s">
        <v>1682</v>
      </c>
      <c r="B317" s="1553" t="s">
        <v>1900</v>
      </c>
      <c r="C317" s="1553">
        <v>1200</v>
      </c>
      <c r="D317" s="1553">
        <v>1180</v>
      </c>
      <c r="E317" s="1553">
        <v>1160</v>
      </c>
      <c r="F317" s="1554">
        <v>370</v>
      </c>
    </row>
    <row r="318" spans="1:6" s="1540" customFormat="1" ht="14.25" customHeight="1" thickBot="1">
      <c r="A318" s="1552" t="s">
        <v>1682</v>
      </c>
      <c r="B318" s="1546" t="s">
        <v>1901</v>
      </c>
      <c r="C318" s="1546">
        <v>1090</v>
      </c>
      <c r="D318" s="1546">
        <v>1060</v>
      </c>
      <c r="E318" s="1546">
        <v>1040</v>
      </c>
      <c r="F318" s="1564"/>
    </row>
    <row r="319" spans="1:6" s="1540" customFormat="1" ht="14.25" customHeight="1" thickBot="1">
      <c r="A319" s="1552" t="s">
        <v>1682</v>
      </c>
      <c r="B319" s="1546" t="s">
        <v>1902</v>
      </c>
      <c r="C319" s="1546">
        <v>1520</v>
      </c>
      <c r="D319" s="1546">
        <v>1470</v>
      </c>
      <c r="E319" s="1546">
        <v>1440</v>
      </c>
      <c r="F319" s="1560">
        <v>370</v>
      </c>
    </row>
    <row r="320" spans="1:6" s="1540" customFormat="1" ht="14.25" customHeight="1" thickBot="1">
      <c r="A320" s="1552" t="s">
        <v>1682</v>
      </c>
      <c r="B320" s="1546" t="s">
        <v>1584</v>
      </c>
      <c r="C320" s="1546">
        <v>1360</v>
      </c>
      <c r="D320" s="1546">
        <v>1300</v>
      </c>
      <c r="E320" s="1546">
        <v>1270</v>
      </c>
      <c r="F320" s="1564"/>
    </row>
    <row r="321" spans="1:6" s="1540" customFormat="1" ht="14.25" customHeight="1" thickBot="1">
      <c r="A321" s="1552" t="s">
        <v>1682</v>
      </c>
      <c r="B321" s="1546" t="s">
        <v>1596</v>
      </c>
      <c r="C321" s="1546">
        <v>1750</v>
      </c>
      <c r="D321" s="1546">
        <v>1690</v>
      </c>
      <c r="E321" s="1546">
        <v>1660</v>
      </c>
      <c r="F321" s="1564"/>
    </row>
    <row r="322" spans="1:6" s="1540" customFormat="1" ht="14.25" customHeight="1" thickBot="1">
      <c r="A322" s="1552" t="s">
        <v>1682</v>
      </c>
      <c r="B322" s="1546" t="s">
        <v>1607</v>
      </c>
      <c r="C322" s="1546">
        <v>1650</v>
      </c>
      <c r="D322" s="1546">
        <v>1610</v>
      </c>
      <c r="E322" s="1546">
        <v>1580</v>
      </c>
      <c r="F322" s="1560">
        <v>500</v>
      </c>
    </row>
    <row r="323" spans="1:6" s="1540" customFormat="1" ht="14.25" customHeight="1" thickBot="1">
      <c r="A323" s="1552" t="s">
        <v>1682</v>
      </c>
      <c r="B323" s="1546" t="s">
        <v>1618</v>
      </c>
      <c r="C323" s="1546">
        <v>1780</v>
      </c>
      <c r="D323" s="1546">
        <v>1740</v>
      </c>
      <c r="E323" s="1546">
        <v>1720</v>
      </c>
      <c r="F323" s="1564"/>
    </row>
    <row r="324" spans="1:6" s="1540" customFormat="1" ht="14.25" customHeight="1" thickBot="1">
      <c r="A324" s="1552" t="s">
        <v>1682</v>
      </c>
      <c r="B324" s="1546" t="s">
        <v>1629</v>
      </c>
      <c r="C324" s="1546">
        <v>1650</v>
      </c>
      <c r="D324" s="1546">
        <v>1610</v>
      </c>
      <c r="E324" s="1546">
        <v>1580</v>
      </c>
      <c r="F324" s="1564"/>
    </row>
    <row r="325" spans="1:6" s="1540" customFormat="1" ht="14.25" customHeight="1" thickBot="1">
      <c r="A325" s="1552" t="s">
        <v>1682</v>
      </c>
      <c r="B325" s="1546" t="s">
        <v>1641</v>
      </c>
      <c r="C325" s="1546">
        <v>1330</v>
      </c>
      <c r="D325" s="1546">
        <v>1270</v>
      </c>
      <c r="E325" s="1546">
        <v>1240</v>
      </c>
      <c r="F325" s="1560">
        <v>430</v>
      </c>
    </row>
    <row r="326" spans="1:6" s="1540" customFormat="1" ht="14.25" customHeight="1" thickBot="1">
      <c r="A326" s="1552" t="s">
        <v>1682</v>
      </c>
      <c r="B326" s="1546" t="s">
        <v>1651</v>
      </c>
      <c r="C326" s="1546">
        <v>1470</v>
      </c>
      <c r="D326" s="1546">
        <v>1430</v>
      </c>
      <c r="E326" s="1546">
        <v>1400</v>
      </c>
      <c r="F326" s="1564"/>
    </row>
    <row r="327" spans="1:6" s="1540" customFormat="1" ht="14.25" customHeight="1" thickBot="1">
      <c r="A327" s="1552" t="s">
        <v>1682</v>
      </c>
      <c r="B327" s="1546" t="s">
        <v>1661</v>
      </c>
      <c r="C327" s="1546">
        <v>1420</v>
      </c>
      <c r="D327" s="1546">
        <v>1380</v>
      </c>
      <c r="E327" s="1546">
        <v>1360</v>
      </c>
      <c r="F327" s="1560">
        <v>420</v>
      </c>
    </row>
    <row r="328" spans="1:6" s="1540" customFormat="1" ht="14.25" customHeight="1" thickBot="1">
      <c r="A328" s="1552" t="s">
        <v>1682</v>
      </c>
      <c r="B328" s="1546" t="s">
        <v>1671</v>
      </c>
      <c r="C328" s="1546">
        <v>1400</v>
      </c>
      <c r="D328" s="1546">
        <v>1360</v>
      </c>
      <c r="E328" s="1546">
        <v>1330</v>
      </c>
      <c r="F328" s="1560">
        <v>460</v>
      </c>
    </row>
    <row r="329" spans="1:6" s="1540" customFormat="1" ht="14.25" customHeight="1" thickBot="1">
      <c r="A329" s="1552" t="s">
        <v>1682</v>
      </c>
      <c r="B329" s="1546" t="s">
        <v>1681</v>
      </c>
      <c r="C329" s="1546">
        <v>1640</v>
      </c>
      <c r="D329" s="1546">
        <v>1610</v>
      </c>
      <c r="E329" s="1546">
        <v>1580</v>
      </c>
      <c r="F329" s="1560">
        <v>410</v>
      </c>
    </row>
    <row r="330" spans="1:6" s="1540" customFormat="1" ht="14.25" customHeight="1" thickBot="1">
      <c r="A330" s="1552" t="s">
        <v>1682</v>
      </c>
      <c r="B330" s="1546" t="s">
        <v>1692</v>
      </c>
      <c r="C330" s="1546">
        <v>1260</v>
      </c>
      <c r="D330" s="1546">
        <v>1220</v>
      </c>
      <c r="E330" s="1546">
        <v>1200</v>
      </c>
      <c r="F330" s="1564"/>
    </row>
    <row r="331" spans="1:6" s="1540" customFormat="1" ht="14.25" customHeight="1" thickBot="1">
      <c r="A331" s="1552" t="s">
        <v>1682</v>
      </c>
      <c r="B331" s="1546" t="s">
        <v>1703</v>
      </c>
      <c r="C331" s="1546">
        <v>1620</v>
      </c>
      <c r="D331" s="1546">
        <v>1560</v>
      </c>
      <c r="E331" s="1546">
        <v>1530</v>
      </c>
      <c r="F331" s="1560">
        <v>490</v>
      </c>
    </row>
    <row r="332" spans="1:6" s="1540" customFormat="1" ht="14.25" customHeight="1" thickBot="1">
      <c r="A332" s="1552" t="s">
        <v>1682</v>
      </c>
      <c r="B332" s="1546" t="s">
        <v>1713</v>
      </c>
      <c r="C332" s="1546">
        <v>1520</v>
      </c>
      <c r="D332" s="1546">
        <v>1470</v>
      </c>
      <c r="E332" s="1546">
        <v>1440</v>
      </c>
      <c r="F332" s="1560">
        <v>440</v>
      </c>
    </row>
    <row r="333" spans="1:6" s="1540" customFormat="1" ht="14.25" customHeight="1" thickBot="1">
      <c r="A333" s="1552" t="s">
        <v>1682</v>
      </c>
      <c r="B333" s="1546" t="s">
        <v>1723</v>
      </c>
      <c r="C333" s="1546">
        <v>1370</v>
      </c>
      <c r="D333" s="1546">
        <v>1320</v>
      </c>
      <c r="E333" s="1546">
        <v>1300</v>
      </c>
      <c r="F333" s="1560">
        <v>460</v>
      </c>
    </row>
    <row r="334" spans="1:6" s="1540" customFormat="1" ht="14.25" customHeight="1" thickBot="1">
      <c r="A334" s="1552" t="s">
        <v>1682</v>
      </c>
      <c r="B334" s="1546" t="s">
        <v>1733</v>
      </c>
      <c r="C334" s="1546">
        <v>1410</v>
      </c>
      <c r="D334" s="1546">
        <v>1340</v>
      </c>
      <c r="E334" s="1546">
        <v>1310</v>
      </c>
      <c r="F334" s="1560">
        <v>410</v>
      </c>
    </row>
    <row r="335" spans="1:6" s="1540" customFormat="1" ht="14.25" customHeight="1" thickBot="1">
      <c r="A335" s="1552" t="s">
        <v>1682</v>
      </c>
      <c r="B335" s="1546" t="s">
        <v>1743</v>
      </c>
      <c r="C335" s="1546">
        <v>1260</v>
      </c>
      <c r="D335" s="1546">
        <v>1220</v>
      </c>
      <c r="E335" s="1546">
        <v>1200</v>
      </c>
      <c r="F335" s="1564"/>
    </row>
    <row r="336" spans="1:6" s="1540" customFormat="1" ht="14.25" customHeight="1" thickBot="1">
      <c r="A336" s="1552" t="s">
        <v>1682</v>
      </c>
      <c r="B336" s="1546" t="s">
        <v>1752</v>
      </c>
      <c r="C336" s="1546">
        <v>1160</v>
      </c>
      <c r="D336" s="1546">
        <v>1140</v>
      </c>
      <c r="E336" s="1546">
        <v>1120</v>
      </c>
      <c r="F336" s="1560">
        <v>430</v>
      </c>
    </row>
    <row r="337" spans="1:6" s="1540" customFormat="1" ht="14.25" customHeight="1" thickBot="1">
      <c r="A337" s="1552" t="s">
        <v>1682</v>
      </c>
      <c r="B337" s="1558" t="s">
        <v>1761</v>
      </c>
      <c r="C337" s="1558"/>
      <c r="D337" s="1558"/>
      <c r="E337" s="1558"/>
      <c r="F337" s="1563">
        <v>380</v>
      </c>
    </row>
    <row r="338" spans="1:6" s="1540" customFormat="1" ht="14.25" customHeight="1" thickBot="1">
      <c r="A338" s="1552" t="s">
        <v>1693</v>
      </c>
      <c r="B338" s="1553" t="s">
        <v>1903</v>
      </c>
      <c r="C338" s="1553">
        <v>880</v>
      </c>
      <c r="D338" s="1553">
        <v>850</v>
      </c>
      <c r="E338" s="1553">
        <v>830</v>
      </c>
      <c r="F338" s="1566"/>
    </row>
    <row r="339" spans="1:6" s="1540" customFormat="1" ht="14.25" customHeight="1" thickBot="1">
      <c r="A339" s="1552" t="s">
        <v>1693</v>
      </c>
      <c r="B339" s="1546" t="s">
        <v>1904</v>
      </c>
      <c r="C339" s="1546">
        <v>830</v>
      </c>
      <c r="D339" s="1546">
        <v>800</v>
      </c>
      <c r="E339" s="1546">
        <v>780</v>
      </c>
      <c r="F339" s="1564"/>
    </row>
    <row r="340" spans="1:6" s="1540" customFormat="1" ht="14.25" customHeight="1" thickBot="1">
      <c r="A340" s="1552" t="s">
        <v>1693</v>
      </c>
      <c r="B340" s="1546" t="s">
        <v>1905</v>
      </c>
      <c r="C340" s="1546">
        <v>980</v>
      </c>
      <c r="D340" s="1546">
        <v>950</v>
      </c>
      <c r="E340" s="1546">
        <v>920</v>
      </c>
      <c r="F340" s="1564"/>
    </row>
    <row r="341" spans="1:6" s="1540" customFormat="1" ht="14.25" customHeight="1" thickBot="1">
      <c r="A341" s="1552" t="s">
        <v>1693</v>
      </c>
      <c r="B341" s="1546" t="s">
        <v>1906</v>
      </c>
      <c r="C341" s="1546">
        <v>760</v>
      </c>
      <c r="D341" s="1546">
        <v>720</v>
      </c>
      <c r="E341" s="1546">
        <v>690</v>
      </c>
      <c r="F341" s="1560">
        <v>350</v>
      </c>
    </row>
    <row r="342" spans="1:6" s="1540" customFormat="1" ht="14.25" customHeight="1" thickBot="1">
      <c r="A342" s="1552" t="s">
        <v>1693</v>
      </c>
      <c r="B342" s="1546" t="s">
        <v>1597</v>
      </c>
      <c r="C342" s="1546">
        <v>910</v>
      </c>
      <c r="D342" s="1546">
        <v>870</v>
      </c>
      <c r="E342" s="1546">
        <v>850</v>
      </c>
      <c r="F342" s="1560">
        <v>370</v>
      </c>
    </row>
    <row r="343" spans="1:6" s="1540" customFormat="1" ht="14.25" customHeight="1" thickBot="1">
      <c r="A343" s="1552" t="s">
        <v>1693</v>
      </c>
      <c r="B343" s="1546" t="s">
        <v>1608</v>
      </c>
      <c r="C343" s="1546">
        <v>800</v>
      </c>
      <c r="D343" s="1546">
        <v>760</v>
      </c>
      <c r="E343" s="1546">
        <v>730</v>
      </c>
      <c r="F343" s="1560">
        <v>340</v>
      </c>
    </row>
    <row r="344" spans="1:6" s="1540" customFormat="1" ht="14.25" customHeight="1" thickBot="1">
      <c r="A344" s="1552" t="s">
        <v>1693</v>
      </c>
      <c r="B344" s="1558" t="s">
        <v>1619</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792" t="s">
        <v>2503</v>
      </c>
      <c r="B1" s="3792"/>
    </row>
    <row r="2" spans="1:6" ht="14.25" thickBot="1">
      <c r="A2" s="2136"/>
      <c r="B2" s="2136"/>
    </row>
    <row r="3" spans="1:6" ht="14.25" thickBot="1">
      <c r="A3" s="2136"/>
      <c r="B3" s="2136"/>
      <c r="C3" s="2140" t="s">
        <v>2506</v>
      </c>
      <c r="D3" s="2140" t="s">
        <v>2507</v>
      </c>
      <c r="E3" s="2140" t="s">
        <v>2508</v>
      </c>
      <c r="F3" s="2140" t="s">
        <v>2509</v>
      </c>
    </row>
    <row r="4" spans="1:6" ht="14.25" thickBot="1">
      <c r="A4" s="2138" t="s">
        <v>2504</v>
      </c>
      <c r="B4" s="2139" t="s">
        <v>2505</v>
      </c>
      <c r="C4" s="2140"/>
      <c r="D4" s="2140"/>
      <c r="E4" s="2140"/>
      <c r="F4" s="2140"/>
    </row>
    <row r="5" spans="1:6" ht="14.25" thickBot="1">
      <c r="A5" s="1552" t="s">
        <v>2510</v>
      </c>
      <c r="B5" s="1553" t="s">
        <v>2511</v>
      </c>
      <c r="C5" s="2141">
        <v>8.8999999999999996E-2</v>
      </c>
      <c r="D5" s="2141">
        <v>7.3999999999999996E-2</v>
      </c>
      <c r="E5" s="2141">
        <v>7.4999999999999997E-2</v>
      </c>
      <c r="F5" s="2142">
        <v>0.1</v>
      </c>
    </row>
    <row r="6" spans="1:6" ht="14.25" thickBot="1">
      <c r="A6" s="1552" t="s">
        <v>1573</v>
      </c>
      <c r="B6" s="1546" t="s">
        <v>2512</v>
      </c>
      <c r="C6" s="2143">
        <v>0.1</v>
      </c>
      <c r="D6" s="2143">
        <v>9.0999999999999998E-2</v>
      </c>
      <c r="E6" s="2143">
        <v>9.0999999999999998E-2</v>
      </c>
      <c r="F6" s="2144">
        <v>0.1</v>
      </c>
    </row>
    <row r="7" spans="1:6" ht="14.25" thickBot="1">
      <c r="A7" s="1552" t="s">
        <v>1573</v>
      </c>
      <c r="B7" s="1556" t="s">
        <v>1562</v>
      </c>
      <c r="C7" s="2143">
        <v>8.5999999999999993E-2</v>
      </c>
      <c r="D7" s="2143">
        <v>9.6000000000000002E-2</v>
      </c>
      <c r="E7" s="2143">
        <v>7.5999999999999998E-2</v>
      </c>
      <c r="F7" s="2144">
        <v>0.1</v>
      </c>
    </row>
    <row r="8" spans="1:6" ht="14.25" thickBot="1">
      <c r="A8" s="1552" t="s">
        <v>1573</v>
      </c>
      <c r="B8" s="1546" t="s">
        <v>1574</v>
      </c>
      <c r="C8" s="2143">
        <v>9.9000000000000005E-2</v>
      </c>
      <c r="D8" s="2143">
        <v>9.8000000000000004E-2</v>
      </c>
      <c r="E8" s="2143">
        <v>9.8000000000000004E-2</v>
      </c>
      <c r="F8" s="2144">
        <v>0.1</v>
      </c>
    </row>
    <row r="9" spans="1:6" ht="14.25" thickBot="1">
      <c r="A9" s="1562" t="s">
        <v>1573</v>
      </c>
      <c r="B9" s="1557" t="s">
        <v>1586</v>
      </c>
      <c r="C9" s="2145">
        <v>0.05</v>
      </c>
      <c r="D9" s="2153"/>
      <c r="E9" s="2153"/>
      <c r="F9" s="2154"/>
    </row>
    <row r="10" spans="1:6" ht="14.25" thickBot="1">
      <c r="A10" s="1552" t="s">
        <v>1630</v>
      </c>
      <c r="B10" s="1553" t="s">
        <v>2513</v>
      </c>
      <c r="C10" s="2141">
        <v>8.8999999999999996E-2</v>
      </c>
      <c r="D10" s="2141">
        <v>7.2999999999999995E-2</v>
      </c>
      <c r="E10" s="2141">
        <v>8.2000000000000003E-2</v>
      </c>
      <c r="F10" s="2142">
        <v>0.1</v>
      </c>
    </row>
    <row r="11" spans="1:6" ht="14.25" thickBot="1">
      <c r="A11" s="1552" t="s">
        <v>1630</v>
      </c>
      <c r="B11" s="1556" t="s">
        <v>1549</v>
      </c>
      <c r="C11" s="2143">
        <v>8.8999999999999996E-2</v>
      </c>
      <c r="D11" s="2143">
        <v>7.2999999999999995E-2</v>
      </c>
      <c r="E11" s="2143">
        <v>8.2000000000000003E-2</v>
      </c>
      <c r="F11" s="2144">
        <v>0.1</v>
      </c>
    </row>
    <row r="12" spans="1:6" ht="14.25" thickBot="1">
      <c r="A12" s="1552" t="s">
        <v>1630</v>
      </c>
      <c r="B12" s="1556" t="s">
        <v>1484</v>
      </c>
      <c r="C12" s="2143">
        <v>6.0999999999999999E-2</v>
      </c>
      <c r="D12" s="2143">
        <v>7.0999999999999994E-2</v>
      </c>
      <c r="E12" s="2143">
        <v>9.6000000000000002E-2</v>
      </c>
      <c r="F12" s="2144">
        <v>0.1</v>
      </c>
    </row>
    <row r="13" spans="1:6" ht="14.25" thickBot="1">
      <c r="A13" s="1552" t="s">
        <v>1630</v>
      </c>
      <c r="B13" s="1556" t="s">
        <v>1575</v>
      </c>
      <c r="C13" s="2143">
        <v>6.9000000000000006E-2</v>
      </c>
      <c r="D13" s="2143">
        <v>6.5000000000000002E-2</v>
      </c>
      <c r="E13" s="2143">
        <v>6.6000000000000003E-2</v>
      </c>
      <c r="F13" s="2144">
        <v>0.1</v>
      </c>
    </row>
    <row r="14" spans="1:6" ht="14.25" thickBot="1">
      <c r="A14" s="1552" t="s">
        <v>1630</v>
      </c>
      <c r="B14" s="1556" t="s">
        <v>1587</v>
      </c>
      <c r="C14" s="2143">
        <v>0.1</v>
      </c>
      <c r="D14" s="2143">
        <v>6.5000000000000002E-2</v>
      </c>
      <c r="E14" s="2143">
        <v>7.0000000000000007E-2</v>
      </c>
      <c r="F14" s="2144">
        <v>0.1</v>
      </c>
    </row>
    <row r="15" spans="1:6" ht="14.25" thickBot="1">
      <c r="A15" s="1552" t="s">
        <v>1630</v>
      </c>
      <c r="B15" s="1556" t="s">
        <v>1598</v>
      </c>
      <c r="C15" s="2143">
        <v>9.8000000000000004E-2</v>
      </c>
      <c r="D15" s="2143">
        <v>8.8999999999999996E-2</v>
      </c>
      <c r="E15" s="2143">
        <v>8.8999999999999996E-2</v>
      </c>
      <c r="F15" s="2144">
        <v>0.1</v>
      </c>
    </row>
    <row r="16" spans="1:6" ht="14.25" thickBot="1">
      <c r="A16" s="1552" t="s">
        <v>1630</v>
      </c>
      <c r="B16" s="1556" t="s">
        <v>1609</v>
      </c>
      <c r="C16" s="2143">
        <v>7.0000000000000007E-2</v>
      </c>
      <c r="D16" s="2143">
        <v>9.2999999999999999E-2</v>
      </c>
      <c r="E16" s="2143">
        <v>9.6000000000000002E-2</v>
      </c>
      <c r="F16" s="2144">
        <v>0.1</v>
      </c>
    </row>
    <row r="17" spans="1:6" ht="14.25" thickBot="1">
      <c r="A17" s="1552" t="s">
        <v>1630</v>
      </c>
      <c r="B17" s="1556" t="s">
        <v>1620</v>
      </c>
      <c r="C17" s="2143">
        <v>9.5000000000000001E-2</v>
      </c>
      <c r="D17" s="2143">
        <v>0.1</v>
      </c>
      <c r="E17" s="2143">
        <v>0.1</v>
      </c>
      <c r="F17" s="2155"/>
    </row>
    <row r="18" spans="1:6" ht="14.25" thickBot="1">
      <c r="A18" s="1552" t="s">
        <v>1630</v>
      </c>
      <c r="B18" s="1556" t="s">
        <v>1632</v>
      </c>
      <c r="C18" s="2143">
        <v>7.3999999999999996E-2</v>
      </c>
      <c r="D18" s="2143">
        <v>9.9000000000000005E-2</v>
      </c>
      <c r="E18" s="2143">
        <v>0.1</v>
      </c>
      <c r="F18" s="2155"/>
    </row>
    <row r="19" spans="1:6" ht="14.25" thickBot="1">
      <c r="A19" s="1552" t="s">
        <v>1630</v>
      </c>
      <c r="B19" s="1556" t="s">
        <v>1642</v>
      </c>
      <c r="C19" s="2143">
        <v>9.9000000000000005E-2</v>
      </c>
      <c r="D19" s="2143">
        <v>7.5999999999999998E-2</v>
      </c>
      <c r="E19" s="2143">
        <v>8.6999999999999994E-2</v>
      </c>
      <c r="F19" s="2155"/>
    </row>
    <row r="20" spans="1:6" ht="14.25" thickBot="1">
      <c r="A20" s="1552" t="s">
        <v>1630</v>
      </c>
      <c r="B20" s="1556" t="s">
        <v>1652</v>
      </c>
      <c r="C20" s="2143">
        <v>9.8000000000000004E-2</v>
      </c>
      <c r="D20" s="2143">
        <v>8.5000000000000006E-2</v>
      </c>
      <c r="E20" s="2143">
        <v>8.2000000000000003E-2</v>
      </c>
      <c r="F20" s="2155"/>
    </row>
    <row r="21" spans="1:6" ht="14.25" thickBot="1">
      <c r="A21" s="1552" t="s">
        <v>1630</v>
      </c>
      <c r="B21" s="1556" t="s">
        <v>1662</v>
      </c>
      <c r="C21" s="2143">
        <v>6.6000000000000003E-2</v>
      </c>
      <c r="D21" s="2143">
        <v>6.4000000000000001E-2</v>
      </c>
      <c r="E21" s="2143">
        <v>6.5000000000000002E-2</v>
      </c>
      <c r="F21" s="2155"/>
    </row>
    <row r="22" spans="1:6" ht="14.25" thickBot="1">
      <c r="A22" s="1552" t="s">
        <v>1630</v>
      </c>
      <c r="B22" s="1556" t="s">
        <v>2514</v>
      </c>
      <c r="C22" s="2143">
        <v>0.08</v>
      </c>
      <c r="D22" s="2143">
        <v>9.8000000000000004E-2</v>
      </c>
      <c r="E22" s="2143">
        <v>9.8000000000000004E-2</v>
      </c>
      <c r="F22" s="2155"/>
    </row>
    <row r="23" spans="1:6" ht="14.25" thickBot="1">
      <c r="A23" s="1552" t="s">
        <v>1630</v>
      </c>
      <c r="B23" s="1556" t="s">
        <v>1683</v>
      </c>
      <c r="C23" s="2143">
        <v>9.9000000000000005E-2</v>
      </c>
      <c r="D23" s="2143">
        <v>9.8000000000000004E-2</v>
      </c>
      <c r="E23" s="2143">
        <v>9.0999999999999998E-2</v>
      </c>
      <c r="F23" s="2155"/>
    </row>
    <row r="24" spans="1:6" ht="14.25" thickBot="1">
      <c r="A24" s="1552" t="s">
        <v>1630</v>
      </c>
      <c r="B24" s="1556" t="s">
        <v>1694</v>
      </c>
      <c r="C24" s="2143">
        <v>8.8999999999999996E-2</v>
      </c>
      <c r="D24" s="2143">
        <v>9.7000000000000003E-2</v>
      </c>
      <c r="E24" s="2143">
        <v>7.0000000000000007E-2</v>
      </c>
      <c r="F24" s="2155"/>
    </row>
    <row r="25" spans="1:6" ht="14.25" thickBot="1">
      <c r="A25" s="1552" t="s">
        <v>1630</v>
      </c>
      <c r="B25" s="1556" t="s">
        <v>1704</v>
      </c>
      <c r="C25" s="2143">
        <v>8.8999999999999996E-2</v>
      </c>
      <c r="D25" s="2143">
        <v>0.1</v>
      </c>
      <c r="E25" s="2143">
        <v>8.1000000000000003E-2</v>
      </c>
      <c r="F25" s="2155"/>
    </row>
    <row r="26" spans="1:6" ht="14.25" thickBot="1">
      <c r="A26" s="1552" t="s">
        <v>1630</v>
      </c>
      <c r="B26" s="1556" t="s">
        <v>1714</v>
      </c>
      <c r="C26" s="2156"/>
      <c r="D26" s="2143">
        <v>9.6000000000000002E-2</v>
      </c>
      <c r="E26" s="2143">
        <v>9.2999999999999999E-2</v>
      </c>
      <c r="F26" s="2155"/>
    </row>
    <row r="27" spans="1:6" ht="14.25" thickBot="1">
      <c r="A27" s="1552" t="s">
        <v>1630</v>
      </c>
      <c r="B27" s="1556" t="s">
        <v>1724</v>
      </c>
      <c r="C27" s="2156"/>
      <c r="D27" s="2143">
        <v>7.5999999999999998E-2</v>
      </c>
      <c r="E27" s="2143">
        <v>9.1999999999999998E-2</v>
      </c>
      <c r="F27" s="2155"/>
    </row>
    <row r="28" spans="1:6" ht="14.25" thickBot="1">
      <c r="A28" s="1562" t="s">
        <v>1630</v>
      </c>
      <c r="B28" s="1557" t="s">
        <v>1734</v>
      </c>
      <c r="C28" s="2153"/>
      <c r="D28" s="2145">
        <v>7.5999999999999998E-2</v>
      </c>
      <c r="E28" s="2145">
        <v>9.1999999999999998E-2</v>
      </c>
      <c r="F28" s="2154"/>
    </row>
    <row r="29" spans="1:6" ht="14.25" thickBot="1">
      <c r="A29" s="1552" t="s">
        <v>1803</v>
      </c>
      <c r="B29" s="1553" t="s">
        <v>2515</v>
      </c>
      <c r="C29" s="2141">
        <v>6.4000000000000001E-2</v>
      </c>
      <c r="D29" s="2141">
        <v>6.5000000000000002E-2</v>
      </c>
      <c r="E29" s="2141">
        <v>6.9000000000000006E-2</v>
      </c>
      <c r="F29" s="2142">
        <v>0.1</v>
      </c>
    </row>
    <row r="30" spans="1:6" ht="14.25" thickBot="1">
      <c r="A30" s="1552" t="s">
        <v>1803</v>
      </c>
      <c r="B30" s="1556" t="s">
        <v>1550</v>
      </c>
      <c r="C30" s="2143">
        <v>6.4000000000000001E-2</v>
      </c>
      <c r="D30" s="2143">
        <v>9.9000000000000005E-2</v>
      </c>
      <c r="E30" s="2143">
        <v>0.1</v>
      </c>
      <c r="F30" s="2144">
        <v>0.1</v>
      </c>
    </row>
    <row r="31" spans="1:6" ht="14.25" thickBot="1">
      <c r="A31" s="1552" t="s">
        <v>1803</v>
      </c>
      <c r="B31" s="1556" t="s">
        <v>1563</v>
      </c>
      <c r="C31" s="2143">
        <v>0.1</v>
      </c>
      <c r="D31" s="2143">
        <v>9.5000000000000001E-2</v>
      </c>
      <c r="E31" s="2143">
        <v>8.8999999999999996E-2</v>
      </c>
      <c r="F31" s="2144">
        <v>0.1</v>
      </c>
    </row>
    <row r="32" spans="1:6" ht="14.25" thickBot="1">
      <c r="A32" s="1552" t="s">
        <v>1803</v>
      </c>
      <c r="B32" s="1556" t="s">
        <v>1576</v>
      </c>
      <c r="C32" s="2143">
        <v>0.05</v>
      </c>
      <c r="D32" s="2143">
        <v>0.05</v>
      </c>
      <c r="E32" s="2143">
        <v>8.7999999999999995E-2</v>
      </c>
      <c r="F32" s="2144">
        <v>0.1</v>
      </c>
    </row>
    <row r="33" spans="1:6" ht="14.25" thickBot="1">
      <c r="A33" s="1552" t="s">
        <v>1803</v>
      </c>
      <c r="B33" s="1556" t="s">
        <v>1588</v>
      </c>
      <c r="C33" s="2143">
        <v>7.4999999999999997E-2</v>
      </c>
      <c r="D33" s="2143">
        <v>9.4E-2</v>
      </c>
      <c r="E33" s="2143">
        <v>9.7000000000000003E-2</v>
      </c>
      <c r="F33" s="2144">
        <v>0.1</v>
      </c>
    </row>
    <row r="34" spans="1:6" ht="14.25" thickBot="1">
      <c r="A34" s="1552" t="s">
        <v>1803</v>
      </c>
      <c r="B34" s="1556" t="s">
        <v>1599</v>
      </c>
      <c r="C34" s="2143">
        <v>9.8000000000000004E-2</v>
      </c>
      <c r="D34" s="2143">
        <v>8.5999999999999993E-2</v>
      </c>
      <c r="E34" s="2143">
        <v>9.7000000000000003E-2</v>
      </c>
      <c r="F34" s="2144">
        <v>0.1</v>
      </c>
    </row>
    <row r="35" spans="1:6" ht="14.25" thickBot="1">
      <c r="A35" s="1552" t="s">
        <v>1803</v>
      </c>
      <c r="B35" s="1556" t="s">
        <v>1610</v>
      </c>
      <c r="C35" s="2143">
        <v>5.8999999999999997E-2</v>
      </c>
      <c r="D35" s="2143">
        <v>6.5000000000000002E-2</v>
      </c>
      <c r="E35" s="2143">
        <v>7.0000000000000007E-2</v>
      </c>
      <c r="F35" s="2144">
        <v>0.1</v>
      </c>
    </row>
    <row r="36" spans="1:6" ht="14.25" thickBot="1">
      <c r="A36" s="1552" t="s">
        <v>1803</v>
      </c>
      <c r="B36" s="1556" t="s">
        <v>1621</v>
      </c>
      <c r="C36" s="2143">
        <v>6.3E-2</v>
      </c>
      <c r="D36" s="2143">
        <v>0.1</v>
      </c>
      <c r="E36" s="2143">
        <v>0.1</v>
      </c>
      <c r="F36" s="2144">
        <v>0.1</v>
      </c>
    </row>
    <row r="37" spans="1:6" ht="14.25" thickBot="1">
      <c r="A37" s="1552" t="s">
        <v>1803</v>
      </c>
      <c r="B37" s="1556" t="s">
        <v>1633</v>
      </c>
      <c r="C37" s="2143">
        <v>7.3999999999999996E-2</v>
      </c>
      <c r="D37" s="2143">
        <v>0.1</v>
      </c>
      <c r="E37" s="2143">
        <v>0.1</v>
      </c>
      <c r="F37" s="2144">
        <v>0.1</v>
      </c>
    </row>
    <row r="38" spans="1:6" ht="14.25" thickBot="1">
      <c r="A38" s="1552" t="s">
        <v>1803</v>
      </c>
      <c r="B38" s="1556" t="s">
        <v>1643</v>
      </c>
      <c r="C38" s="2143">
        <v>0.1</v>
      </c>
      <c r="D38" s="2143">
        <v>9.6000000000000002E-2</v>
      </c>
      <c r="E38" s="2143">
        <v>9.6000000000000002E-2</v>
      </c>
      <c r="F38" s="2155"/>
    </row>
    <row r="39" spans="1:6" ht="14.25" thickBot="1">
      <c r="A39" s="1552" t="s">
        <v>1803</v>
      </c>
      <c r="B39" s="1556" t="s">
        <v>1653</v>
      </c>
      <c r="C39" s="2143">
        <v>0.1</v>
      </c>
      <c r="D39" s="2143">
        <v>9.6000000000000002E-2</v>
      </c>
      <c r="E39" s="2143">
        <v>9.6000000000000002E-2</v>
      </c>
      <c r="F39" s="2155"/>
    </row>
    <row r="40" spans="1:6" ht="14.25" thickBot="1">
      <c r="A40" s="1552" t="s">
        <v>1803</v>
      </c>
      <c r="B40" s="1556" t="s">
        <v>1663</v>
      </c>
      <c r="C40" s="2143">
        <v>9.6000000000000002E-2</v>
      </c>
      <c r="D40" s="2143">
        <v>0.1</v>
      </c>
      <c r="E40" s="2143">
        <v>9.9000000000000005E-2</v>
      </c>
      <c r="F40" s="2155"/>
    </row>
    <row r="41" spans="1:6" ht="14.25" thickBot="1">
      <c r="A41" s="1552" t="s">
        <v>1803</v>
      </c>
      <c r="B41" s="1556" t="s">
        <v>1673</v>
      </c>
      <c r="C41" s="2143">
        <v>9.6000000000000002E-2</v>
      </c>
      <c r="D41" s="2143">
        <v>9.8000000000000004E-2</v>
      </c>
      <c r="E41" s="2143">
        <v>9.8000000000000004E-2</v>
      </c>
      <c r="F41" s="2155"/>
    </row>
    <row r="42" spans="1:6" ht="14.25" thickBot="1">
      <c r="A42" s="1552" t="s">
        <v>1803</v>
      </c>
      <c r="B42" s="1556" t="s">
        <v>1684</v>
      </c>
      <c r="C42" s="2143">
        <v>0.1</v>
      </c>
      <c r="D42" s="2143">
        <v>8.7999999999999995E-2</v>
      </c>
      <c r="E42" s="2143">
        <v>0.1</v>
      </c>
      <c r="F42" s="2155"/>
    </row>
    <row r="43" spans="1:6" ht="14.25" thickBot="1">
      <c r="A43" s="1552" t="s">
        <v>1803</v>
      </c>
      <c r="B43" s="1556" t="s">
        <v>1695</v>
      </c>
      <c r="C43" s="2143">
        <v>9.8000000000000004E-2</v>
      </c>
      <c r="D43" s="2143">
        <v>9.7000000000000003E-2</v>
      </c>
      <c r="E43" s="2143">
        <v>9.6000000000000002E-2</v>
      </c>
      <c r="F43" s="2155"/>
    </row>
    <row r="44" spans="1:6" ht="14.25" thickBot="1">
      <c r="A44" s="1552" t="s">
        <v>1803</v>
      </c>
      <c r="B44" s="1556" t="s">
        <v>1705</v>
      </c>
      <c r="C44" s="2143">
        <v>8.5999999999999993E-2</v>
      </c>
      <c r="D44" s="2143">
        <v>7.9000000000000001E-2</v>
      </c>
      <c r="E44" s="2143">
        <v>7.0999999999999994E-2</v>
      </c>
      <c r="F44" s="2155"/>
    </row>
    <row r="45" spans="1:6" ht="14.25" thickBot="1">
      <c r="A45" s="1552" t="s">
        <v>1803</v>
      </c>
      <c r="B45" s="1556" t="s">
        <v>1715</v>
      </c>
      <c r="C45" s="2143">
        <v>9.8000000000000004E-2</v>
      </c>
      <c r="D45" s="2143">
        <v>9.6000000000000002E-2</v>
      </c>
      <c r="E45" s="2143">
        <v>9.6000000000000002E-2</v>
      </c>
      <c r="F45" s="2155"/>
    </row>
    <row r="46" spans="1:6" ht="14.25" thickBot="1">
      <c r="A46" s="1552" t="s">
        <v>1803</v>
      </c>
      <c r="B46" s="1556" t="s">
        <v>1725</v>
      </c>
      <c r="C46" s="2143">
        <v>8.5999999999999993E-2</v>
      </c>
      <c r="D46" s="2143">
        <v>9.8000000000000004E-2</v>
      </c>
      <c r="E46" s="2143">
        <v>8.7999999999999995E-2</v>
      </c>
      <c r="F46" s="2155"/>
    </row>
    <row r="47" spans="1:6" ht="14.25" thickBot="1">
      <c r="A47" s="1552" t="s">
        <v>1803</v>
      </c>
      <c r="B47" s="1556" t="s">
        <v>1735</v>
      </c>
      <c r="C47" s="2143">
        <v>9.6000000000000002E-2</v>
      </c>
      <c r="D47" s="2156"/>
      <c r="E47" s="2143">
        <v>6.9000000000000006E-2</v>
      </c>
      <c r="F47" s="2155"/>
    </row>
    <row r="48" spans="1:6" ht="14.25" thickBot="1">
      <c r="A48" s="1562" t="s">
        <v>1803</v>
      </c>
      <c r="B48" s="1557" t="s">
        <v>1744</v>
      </c>
      <c r="C48" s="2145">
        <v>9.8000000000000004E-2</v>
      </c>
      <c r="D48" s="2153"/>
      <c r="E48" s="2145">
        <v>9.5000000000000001E-2</v>
      </c>
      <c r="F48" s="2154"/>
    </row>
    <row r="49" spans="1:6" ht="14.25" thickBot="1">
      <c r="A49" s="1552" t="s">
        <v>1483</v>
      </c>
      <c r="B49" s="1553" t="s">
        <v>2516</v>
      </c>
      <c r="C49" s="2141">
        <v>9.7000000000000003E-2</v>
      </c>
      <c r="D49" s="2141">
        <v>9.5000000000000001E-2</v>
      </c>
      <c r="E49" s="2141">
        <v>9.7000000000000003E-2</v>
      </c>
      <c r="F49" s="2142">
        <v>0.1</v>
      </c>
    </row>
    <row r="50" spans="1:6" ht="14.25" thickBot="1">
      <c r="A50" s="1552" t="s">
        <v>1483</v>
      </c>
      <c r="B50" s="1546" t="s">
        <v>1551</v>
      </c>
      <c r="C50" s="2143">
        <v>7.4999999999999997E-2</v>
      </c>
      <c r="D50" s="2143">
        <v>9.5000000000000001E-2</v>
      </c>
      <c r="E50" s="2143">
        <v>0.1</v>
      </c>
      <c r="F50" s="2144">
        <v>0.1</v>
      </c>
    </row>
    <row r="51" spans="1:6" ht="14.25" thickBot="1">
      <c r="A51" s="1552" t="s">
        <v>1483</v>
      </c>
      <c r="B51" s="1546" t="s">
        <v>1564</v>
      </c>
      <c r="C51" s="2143">
        <v>9.8000000000000004E-2</v>
      </c>
      <c r="D51" s="2143">
        <v>8.8999999999999996E-2</v>
      </c>
      <c r="E51" s="2143">
        <v>0.1</v>
      </c>
      <c r="F51" s="2144">
        <v>0.1</v>
      </c>
    </row>
    <row r="52" spans="1:6" ht="14.25" thickBot="1">
      <c r="A52" s="1552" t="s">
        <v>1483</v>
      </c>
      <c r="B52" s="1546" t="s">
        <v>1577</v>
      </c>
      <c r="C52" s="2143">
        <v>9.8000000000000004E-2</v>
      </c>
      <c r="D52" s="2143">
        <v>9.7000000000000003E-2</v>
      </c>
      <c r="E52" s="2143">
        <v>8.1000000000000003E-2</v>
      </c>
      <c r="F52" s="2144">
        <v>0.1</v>
      </c>
    </row>
    <row r="53" spans="1:6" ht="14.25" thickBot="1">
      <c r="A53" s="1552" t="s">
        <v>1483</v>
      </c>
      <c r="B53" s="1546" t="s">
        <v>1589</v>
      </c>
      <c r="C53" s="2143">
        <v>9.7000000000000003E-2</v>
      </c>
      <c r="D53" s="2143">
        <v>7.5999999999999998E-2</v>
      </c>
      <c r="E53" s="2143">
        <v>7.0999999999999994E-2</v>
      </c>
      <c r="F53" s="2144">
        <v>0.1</v>
      </c>
    </row>
    <row r="54" spans="1:6" ht="14.25" thickBot="1">
      <c r="A54" s="1552" t="s">
        <v>1483</v>
      </c>
      <c r="B54" s="1546" t="s">
        <v>1600</v>
      </c>
      <c r="C54" s="2143">
        <v>7.5999999999999998E-2</v>
      </c>
      <c r="D54" s="2143">
        <v>0.1</v>
      </c>
      <c r="E54" s="2143">
        <v>9.9000000000000005E-2</v>
      </c>
      <c r="F54" s="2144">
        <v>0.1</v>
      </c>
    </row>
    <row r="55" spans="1:6" ht="14.25" thickBot="1">
      <c r="A55" s="1552" t="s">
        <v>1483</v>
      </c>
      <c r="B55" s="1546" t="s">
        <v>1611</v>
      </c>
      <c r="C55" s="2143">
        <v>0.1</v>
      </c>
      <c r="D55" s="2143">
        <v>0.1</v>
      </c>
      <c r="E55" s="2143">
        <v>9.6000000000000002E-2</v>
      </c>
      <c r="F55" s="2144">
        <v>0.1</v>
      </c>
    </row>
    <row r="56" spans="1:6" ht="14.25" thickBot="1">
      <c r="A56" s="1552" t="s">
        <v>1483</v>
      </c>
      <c r="B56" s="1546" t="s">
        <v>1622</v>
      </c>
      <c r="C56" s="2143">
        <v>0.1</v>
      </c>
      <c r="D56" s="2143">
        <v>9.6000000000000002E-2</v>
      </c>
      <c r="E56" s="2143">
        <v>5.1999999999999998E-2</v>
      </c>
      <c r="F56" s="2144">
        <v>0.1</v>
      </c>
    </row>
    <row r="57" spans="1:6" ht="14.25" thickBot="1">
      <c r="A57" s="1552" t="s">
        <v>1483</v>
      </c>
      <c r="B57" s="1546" t="s">
        <v>1634</v>
      </c>
      <c r="C57" s="2143">
        <v>9.7000000000000003E-2</v>
      </c>
      <c r="D57" s="2143">
        <v>9.6000000000000002E-2</v>
      </c>
      <c r="E57" s="2143">
        <v>9.6000000000000002E-2</v>
      </c>
      <c r="F57" s="2144">
        <v>0.1</v>
      </c>
    </row>
    <row r="58" spans="1:6" ht="14.25" thickBot="1">
      <c r="A58" s="1552" t="s">
        <v>1483</v>
      </c>
      <c r="B58" s="1546" t="s">
        <v>1644</v>
      </c>
      <c r="C58" s="2143">
        <v>9.6000000000000002E-2</v>
      </c>
      <c r="D58" s="2143">
        <v>9.9000000000000005E-2</v>
      </c>
      <c r="E58" s="2143">
        <v>9.6000000000000002E-2</v>
      </c>
      <c r="F58" s="2144">
        <v>0.1</v>
      </c>
    </row>
    <row r="59" spans="1:6" ht="14.25" thickBot="1">
      <c r="A59" s="1552" t="s">
        <v>1483</v>
      </c>
      <c r="B59" s="1546" t="s">
        <v>1654</v>
      </c>
      <c r="C59" s="2143">
        <v>7.1999999999999995E-2</v>
      </c>
      <c r="D59" s="2143">
        <v>9.6000000000000002E-2</v>
      </c>
      <c r="E59" s="2143">
        <v>7.0999999999999994E-2</v>
      </c>
      <c r="F59" s="2144">
        <v>0.1</v>
      </c>
    </row>
    <row r="60" spans="1:6" ht="14.25" thickBot="1">
      <c r="A60" s="1552" t="s">
        <v>1483</v>
      </c>
      <c r="B60" s="1546" t="s">
        <v>1664</v>
      </c>
      <c r="C60" s="2143">
        <v>9.6000000000000002E-2</v>
      </c>
      <c r="D60" s="2143">
        <v>8.8999999999999996E-2</v>
      </c>
      <c r="E60" s="2143">
        <v>9.6000000000000002E-2</v>
      </c>
      <c r="F60" s="2144">
        <v>0.1</v>
      </c>
    </row>
    <row r="61" spans="1:6" ht="14.25" thickBot="1">
      <c r="A61" s="1552" t="s">
        <v>1483</v>
      </c>
      <c r="B61" s="1546" t="s">
        <v>1674</v>
      </c>
      <c r="C61" s="2143">
        <v>8.8999999999999996E-2</v>
      </c>
      <c r="D61" s="2143">
        <v>9.8000000000000004E-2</v>
      </c>
      <c r="E61" s="2143">
        <v>8.7999999999999995E-2</v>
      </c>
      <c r="F61" s="2155"/>
    </row>
    <row r="62" spans="1:6" ht="14.25" thickBot="1">
      <c r="A62" s="1552" t="s">
        <v>1483</v>
      </c>
      <c r="B62" s="1546" t="s">
        <v>1685</v>
      </c>
      <c r="C62" s="2143">
        <v>9.8000000000000004E-2</v>
      </c>
      <c r="D62" s="2143">
        <v>9.2999999999999999E-2</v>
      </c>
      <c r="E62" s="2143">
        <v>9.7000000000000003E-2</v>
      </c>
      <c r="F62" s="2155"/>
    </row>
    <row r="63" spans="1:6" ht="14.25" thickBot="1">
      <c r="A63" s="1552" t="s">
        <v>1483</v>
      </c>
      <c r="B63" s="1546" t="s">
        <v>1696</v>
      </c>
      <c r="C63" s="2143">
        <v>9.6000000000000002E-2</v>
      </c>
      <c r="D63" s="2143">
        <v>9.8000000000000004E-2</v>
      </c>
      <c r="E63" s="2143">
        <v>0.09</v>
      </c>
      <c r="F63" s="2155"/>
    </row>
    <row r="64" spans="1:6" ht="14.25" thickBot="1">
      <c r="A64" s="1552" t="s">
        <v>1483</v>
      </c>
      <c r="B64" s="1546" t="s">
        <v>1706</v>
      </c>
      <c r="C64" s="2143">
        <v>9.9000000000000005E-2</v>
      </c>
      <c r="D64" s="2143">
        <v>9.7000000000000003E-2</v>
      </c>
      <c r="E64" s="2143">
        <v>9.9000000000000005E-2</v>
      </c>
      <c r="F64" s="2155"/>
    </row>
    <row r="65" spans="1:6" ht="14.25" thickBot="1">
      <c r="A65" s="1552" t="s">
        <v>1483</v>
      </c>
      <c r="B65" s="1546" t="s">
        <v>1716</v>
      </c>
      <c r="C65" s="2143">
        <v>9.8000000000000004E-2</v>
      </c>
      <c r="D65" s="2143">
        <v>9.6000000000000002E-2</v>
      </c>
      <c r="E65" s="2143">
        <v>9.6000000000000002E-2</v>
      </c>
      <c r="F65" s="2155"/>
    </row>
    <row r="66" spans="1:6" ht="14.25" thickBot="1">
      <c r="A66" s="1552" t="s">
        <v>1483</v>
      </c>
      <c r="B66" s="1546" t="s">
        <v>1726</v>
      </c>
      <c r="C66" s="2143">
        <v>9.6000000000000002E-2</v>
      </c>
      <c r="D66" s="2143">
        <v>9.1999999999999998E-2</v>
      </c>
      <c r="E66" s="2143">
        <v>9.6000000000000002E-2</v>
      </c>
      <c r="F66" s="2155"/>
    </row>
    <row r="67" spans="1:6" ht="14.25" thickBot="1">
      <c r="A67" s="1552" t="s">
        <v>1483</v>
      </c>
      <c r="B67" s="1546" t="s">
        <v>1736</v>
      </c>
      <c r="C67" s="2143">
        <v>9.4E-2</v>
      </c>
      <c r="D67" s="2143">
        <v>0.1</v>
      </c>
      <c r="E67" s="2143">
        <v>8.7999999999999995E-2</v>
      </c>
      <c r="F67" s="2155"/>
    </row>
    <row r="68" spans="1:6" ht="14.25" thickBot="1">
      <c r="A68" s="1552" t="s">
        <v>1483</v>
      </c>
      <c r="B68" s="1546" t="s">
        <v>1745</v>
      </c>
      <c r="C68" s="2143">
        <v>0.1</v>
      </c>
      <c r="D68" s="2143">
        <v>8.7999999999999995E-2</v>
      </c>
      <c r="E68" s="2143">
        <v>9.7000000000000003E-2</v>
      </c>
      <c r="F68" s="2155"/>
    </row>
    <row r="69" spans="1:6" ht="14.25" thickBot="1">
      <c r="A69" s="1552" t="s">
        <v>1483</v>
      </c>
      <c r="B69" s="1546" t="s">
        <v>1754</v>
      </c>
      <c r="C69" s="2143">
        <v>6.4000000000000001E-2</v>
      </c>
      <c r="D69" s="2143">
        <v>0.1</v>
      </c>
      <c r="E69" s="2143">
        <v>0.1</v>
      </c>
      <c r="F69" s="2155"/>
    </row>
    <row r="70" spans="1:6" ht="14.25" thickBot="1">
      <c r="A70" s="1552" t="s">
        <v>1483</v>
      </c>
      <c r="B70" s="1546" t="s">
        <v>1762</v>
      </c>
      <c r="C70" s="2143">
        <v>9.0999999999999998E-2</v>
      </c>
      <c r="D70" s="2156"/>
      <c r="E70" s="2156"/>
      <c r="F70" s="2155"/>
    </row>
    <row r="71" spans="1:6" ht="14.25" thickBot="1">
      <c r="A71" s="1552" t="s">
        <v>1483</v>
      </c>
      <c r="B71" s="1546" t="s">
        <v>1769</v>
      </c>
      <c r="C71" s="2143">
        <v>0.1</v>
      </c>
      <c r="D71" s="2156"/>
      <c r="E71" s="2156"/>
      <c r="F71" s="2155"/>
    </row>
    <row r="72" spans="1:6" ht="14.25" thickBot="1">
      <c r="A72" s="1552" t="s">
        <v>1483</v>
      </c>
      <c r="B72" s="1546" t="s">
        <v>2517</v>
      </c>
      <c r="C72" s="2156"/>
      <c r="D72" s="2156"/>
      <c r="E72" s="2156"/>
      <c r="F72" s="2144">
        <v>0.05</v>
      </c>
    </row>
    <row r="73" spans="1:6" ht="14.25" thickBot="1">
      <c r="A73" s="1552" t="s">
        <v>1483</v>
      </c>
      <c r="B73" s="1546" t="s">
        <v>2518</v>
      </c>
      <c r="C73" s="2156"/>
      <c r="D73" s="2156"/>
      <c r="E73" s="2156"/>
      <c r="F73" s="2144">
        <v>0.05</v>
      </c>
    </row>
    <row r="74" spans="1:6" ht="14.25" thickBot="1">
      <c r="A74" s="1552" t="s">
        <v>1483</v>
      </c>
      <c r="B74" s="1546" t="s">
        <v>2519</v>
      </c>
      <c r="C74" s="2156"/>
      <c r="D74" s="2156"/>
      <c r="E74" s="2156"/>
      <c r="F74" s="2144">
        <v>0.05</v>
      </c>
    </row>
    <row r="75" spans="1:6" ht="14.25" thickBot="1">
      <c r="A75" s="1562" t="s">
        <v>1483</v>
      </c>
      <c r="B75" s="1558" t="s">
        <v>2520</v>
      </c>
      <c r="C75" s="2153"/>
      <c r="D75" s="2153"/>
      <c r="E75" s="2153"/>
      <c r="F75" s="2146">
        <v>0.05</v>
      </c>
    </row>
    <row r="76" spans="1:6" ht="14.25" thickBot="1">
      <c r="A76" s="1552" t="s">
        <v>1884</v>
      </c>
      <c r="B76" s="1553" t="s">
        <v>2521</v>
      </c>
      <c r="C76" s="2141">
        <v>0.1</v>
      </c>
      <c r="D76" s="2141">
        <v>0.1</v>
      </c>
      <c r="E76" s="2141">
        <v>0.1</v>
      </c>
      <c r="F76" s="2142">
        <v>0.1</v>
      </c>
    </row>
    <row r="77" spans="1:6" ht="14.25" thickBot="1">
      <c r="A77" s="1552" t="s">
        <v>1884</v>
      </c>
      <c r="B77" s="1546" t="s">
        <v>1552</v>
      </c>
      <c r="C77" s="2143">
        <v>8.7999999999999995E-2</v>
      </c>
      <c r="D77" s="2143">
        <v>8.6999999999999994E-2</v>
      </c>
      <c r="E77" s="2143">
        <v>7.9000000000000001E-2</v>
      </c>
      <c r="F77" s="2144">
        <v>0.1</v>
      </c>
    </row>
    <row r="78" spans="1:6" ht="14.25" thickBot="1">
      <c r="A78" s="1552" t="s">
        <v>1884</v>
      </c>
      <c r="B78" s="1546" t="s">
        <v>1565</v>
      </c>
      <c r="C78" s="2143">
        <v>8.6999999999999994E-2</v>
      </c>
      <c r="D78" s="2143">
        <v>8.4000000000000005E-2</v>
      </c>
      <c r="E78" s="2143">
        <v>9.6000000000000002E-2</v>
      </c>
      <c r="F78" s="2144">
        <v>0.1</v>
      </c>
    </row>
    <row r="79" spans="1:6" ht="14.25" thickBot="1">
      <c r="A79" s="1552" t="s">
        <v>1884</v>
      </c>
      <c r="B79" s="1546" t="s">
        <v>1578</v>
      </c>
      <c r="C79" s="2143">
        <v>9.8000000000000004E-2</v>
      </c>
      <c r="D79" s="2143">
        <v>9.8000000000000004E-2</v>
      </c>
      <c r="E79" s="2143">
        <v>9.0999999999999998E-2</v>
      </c>
      <c r="F79" s="2144">
        <v>0.1</v>
      </c>
    </row>
    <row r="80" spans="1:6" ht="14.25" thickBot="1">
      <c r="A80" s="1552" t="s">
        <v>1884</v>
      </c>
      <c r="B80" s="1546" t="s">
        <v>1590</v>
      </c>
      <c r="C80" s="2143">
        <v>9.6000000000000002E-2</v>
      </c>
      <c r="D80" s="2143">
        <v>9.6000000000000002E-2</v>
      </c>
      <c r="E80" s="2143">
        <v>0.1</v>
      </c>
      <c r="F80" s="2144">
        <v>0.1</v>
      </c>
    </row>
    <row r="81" spans="1:6" ht="14.25" thickBot="1">
      <c r="A81" s="1552" t="s">
        <v>1884</v>
      </c>
      <c r="B81" s="1546" t="s">
        <v>1601</v>
      </c>
      <c r="C81" s="2143">
        <v>9.9000000000000005E-2</v>
      </c>
      <c r="D81" s="2143">
        <v>9.9000000000000005E-2</v>
      </c>
      <c r="E81" s="2143">
        <v>9.8000000000000004E-2</v>
      </c>
      <c r="F81" s="2144">
        <v>0.1</v>
      </c>
    </row>
    <row r="82" spans="1:6" ht="14.25" thickBot="1">
      <c r="A82" s="1552" t="s">
        <v>1884</v>
      </c>
      <c r="B82" s="1546" t="s">
        <v>1612</v>
      </c>
      <c r="C82" s="2143">
        <v>9.9000000000000005E-2</v>
      </c>
      <c r="D82" s="2143">
        <v>9.9000000000000005E-2</v>
      </c>
      <c r="E82" s="2143">
        <v>9.7000000000000003E-2</v>
      </c>
      <c r="F82" s="2144">
        <v>0.1</v>
      </c>
    </row>
    <row r="83" spans="1:6" ht="14.25" thickBot="1">
      <c r="A83" s="1552" t="s">
        <v>1884</v>
      </c>
      <c r="B83" s="1546" t="s">
        <v>1623</v>
      </c>
      <c r="C83" s="2143">
        <v>9.8000000000000004E-2</v>
      </c>
      <c r="D83" s="2143">
        <v>9.8000000000000004E-2</v>
      </c>
      <c r="E83" s="2143">
        <v>9.8000000000000004E-2</v>
      </c>
      <c r="F83" s="2144">
        <v>0.1</v>
      </c>
    </row>
    <row r="84" spans="1:6" ht="14.25" thickBot="1">
      <c r="A84" s="1552" t="s">
        <v>1884</v>
      </c>
      <c r="B84" s="1546" t="s">
        <v>1635</v>
      </c>
      <c r="C84" s="2143">
        <v>9.9000000000000005E-2</v>
      </c>
      <c r="D84" s="2143">
        <v>9.9000000000000005E-2</v>
      </c>
      <c r="E84" s="2143">
        <v>9.9000000000000005E-2</v>
      </c>
      <c r="F84" s="2144">
        <v>0.1</v>
      </c>
    </row>
    <row r="85" spans="1:6" ht="14.25" thickBot="1">
      <c r="A85" s="1552" t="s">
        <v>1884</v>
      </c>
      <c r="B85" s="1546" t="s">
        <v>1645</v>
      </c>
      <c r="C85" s="2143">
        <v>9.9000000000000005E-2</v>
      </c>
      <c r="D85" s="2143">
        <v>9.9000000000000005E-2</v>
      </c>
      <c r="E85" s="2143">
        <v>9.9000000000000005E-2</v>
      </c>
      <c r="F85" s="2144">
        <v>0.1</v>
      </c>
    </row>
    <row r="86" spans="1:6" ht="14.25" thickBot="1">
      <c r="A86" s="1552" t="s">
        <v>1884</v>
      </c>
      <c r="B86" s="1546" t="s">
        <v>1655</v>
      </c>
      <c r="C86" s="2143">
        <v>0.1</v>
      </c>
      <c r="D86" s="2143">
        <v>0.1</v>
      </c>
      <c r="E86" s="2143">
        <v>7.6999999999999999E-2</v>
      </c>
      <c r="F86" s="2144">
        <v>0.1</v>
      </c>
    </row>
    <row r="87" spans="1:6" ht="14.25" thickBot="1">
      <c r="A87" s="1552" t="s">
        <v>1884</v>
      </c>
      <c r="B87" s="1546" t="s">
        <v>1665</v>
      </c>
      <c r="C87" s="2143">
        <v>0.1</v>
      </c>
      <c r="D87" s="2143">
        <v>0.1</v>
      </c>
      <c r="E87" s="2143">
        <v>9.8000000000000004E-2</v>
      </c>
      <c r="F87" s="2155"/>
    </row>
    <row r="88" spans="1:6" ht="14.25" thickBot="1">
      <c r="A88" s="1552" t="s">
        <v>1884</v>
      </c>
      <c r="B88" s="1546" t="s">
        <v>1675</v>
      </c>
      <c r="C88" s="2143">
        <v>9.1999999999999998E-2</v>
      </c>
      <c r="D88" s="2143">
        <v>8.5000000000000006E-2</v>
      </c>
      <c r="E88" s="2143">
        <v>9.6000000000000002E-2</v>
      </c>
      <c r="F88" s="2155"/>
    </row>
    <row r="89" spans="1:6" ht="14.25" thickBot="1">
      <c r="A89" s="1552" t="s">
        <v>1884</v>
      </c>
      <c r="B89" s="1546" t="s">
        <v>1686</v>
      </c>
      <c r="C89" s="2143">
        <v>0.1</v>
      </c>
      <c r="D89" s="2143">
        <v>0.1</v>
      </c>
      <c r="E89" s="2143">
        <v>9.7000000000000003E-2</v>
      </c>
      <c r="F89" s="2155"/>
    </row>
    <row r="90" spans="1:6" ht="14.25" thickBot="1">
      <c r="A90" s="1552" t="s">
        <v>1884</v>
      </c>
      <c r="B90" s="1546" t="s">
        <v>1697</v>
      </c>
      <c r="C90" s="2143">
        <v>9.8000000000000004E-2</v>
      </c>
      <c r="D90" s="2143">
        <v>9.8000000000000004E-2</v>
      </c>
      <c r="E90" s="2143">
        <v>8.7999999999999995E-2</v>
      </c>
      <c r="F90" s="2155"/>
    </row>
    <row r="91" spans="1:6" ht="14.25" thickBot="1">
      <c r="A91" s="1552" t="s">
        <v>1884</v>
      </c>
      <c r="B91" s="1546" t="s">
        <v>1707</v>
      </c>
      <c r="C91" s="2143">
        <v>9.9000000000000005E-2</v>
      </c>
      <c r="D91" s="2143">
        <v>9.9000000000000005E-2</v>
      </c>
      <c r="E91" s="2143">
        <v>9.0999999999999998E-2</v>
      </c>
      <c r="F91" s="2155"/>
    </row>
    <row r="92" spans="1:6" ht="14.25" thickBot="1">
      <c r="A92" s="1552" t="s">
        <v>1884</v>
      </c>
      <c r="B92" s="1546" t="s">
        <v>1717</v>
      </c>
      <c r="C92" s="2143">
        <v>9.6000000000000002E-2</v>
      </c>
      <c r="D92" s="2143">
        <v>9.6000000000000002E-2</v>
      </c>
      <c r="E92" s="2143">
        <v>7.2999999999999995E-2</v>
      </c>
      <c r="F92" s="2155"/>
    </row>
    <row r="93" spans="1:6" ht="14.25" thickBot="1">
      <c r="A93" s="1552" t="s">
        <v>1884</v>
      </c>
      <c r="B93" s="1546" t="s">
        <v>1727</v>
      </c>
      <c r="C93" s="2143">
        <v>9.6000000000000002E-2</v>
      </c>
      <c r="D93" s="2143">
        <v>9.6000000000000002E-2</v>
      </c>
      <c r="E93" s="2143">
        <v>9.9000000000000005E-2</v>
      </c>
      <c r="F93" s="2155"/>
    </row>
    <row r="94" spans="1:6" ht="14.25" thickBot="1">
      <c r="A94" s="1552" t="s">
        <v>1884</v>
      </c>
      <c r="B94" s="1546" t="s">
        <v>1737</v>
      </c>
      <c r="C94" s="2143">
        <v>7.5999999999999998E-2</v>
      </c>
      <c r="D94" s="2143">
        <v>7.3999999999999996E-2</v>
      </c>
      <c r="E94" s="2143">
        <v>9.7000000000000003E-2</v>
      </c>
      <c r="F94" s="2155"/>
    </row>
    <row r="95" spans="1:6" ht="14.25" thickBot="1">
      <c r="A95" s="1552" t="s">
        <v>1884</v>
      </c>
      <c r="B95" s="1546" t="s">
        <v>1746</v>
      </c>
      <c r="C95" s="2143">
        <v>9.9000000000000005E-2</v>
      </c>
      <c r="D95" s="2143">
        <v>9.4E-2</v>
      </c>
      <c r="E95" s="2143">
        <v>9.6000000000000002E-2</v>
      </c>
      <c r="F95" s="2155"/>
    </row>
    <row r="96" spans="1:6" ht="14.25" thickBot="1">
      <c r="A96" s="1552" t="s">
        <v>1884</v>
      </c>
      <c r="B96" s="1546" t="s">
        <v>1755</v>
      </c>
      <c r="C96" s="2143">
        <v>9.9000000000000005E-2</v>
      </c>
      <c r="D96" s="2143">
        <v>9.9000000000000005E-2</v>
      </c>
      <c r="E96" s="2143">
        <v>9.9000000000000005E-2</v>
      </c>
      <c r="F96" s="2155"/>
    </row>
    <row r="97" spans="1:6" ht="14.25" thickBot="1">
      <c r="A97" s="1552" t="s">
        <v>1884</v>
      </c>
      <c r="B97" s="1546" t="s">
        <v>1763</v>
      </c>
      <c r="C97" s="2143">
        <v>9.8000000000000004E-2</v>
      </c>
      <c r="D97" s="2143">
        <v>9.8000000000000004E-2</v>
      </c>
      <c r="E97" s="2143">
        <v>9.7000000000000003E-2</v>
      </c>
      <c r="F97" s="2155"/>
    </row>
    <row r="98" spans="1:6" ht="14.25" thickBot="1">
      <c r="A98" s="1552" t="s">
        <v>1884</v>
      </c>
      <c r="B98" s="1546" t="s">
        <v>1770</v>
      </c>
      <c r="C98" s="2143">
        <v>0.1</v>
      </c>
      <c r="D98" s="2143">
        <v>0.1</v>
      </c>
      <c r="E98" s="2143">
        <v>9.7000000000000003E-2</v>
      </c>
      <c r="F98" s="2155"/>
    </row>
    <row r="99" spans="1:6" ht="14.25" thickBot="1">
      <c r="A99" s="1552" t="s">
        <v>1884</v>
      </c>
      <c r="B99" s="1546" t="s">
        <v>1777</v>
      </c>
      <c r="C99" s="2143">
        <v>0.1</v>
      </c>
      <c r="D99" s="2143">
        <v>0.1</v>
      </c>
      <c r="E99" s="2156"/>
      <c r="F99" s="2155"/>
    </row>
    <row r="100" spans="1:6" ht="14.25" thickBot="1">
      <c r="A100" s="1552" t="s">
        <v>1884</v>
      </c>
      <c r="B100" s="1546" t="s">
        <v>1784</v>
      </c>
      <c r="C100" s="2143">
        <v>0.09</v>
      </c>
      <c r="D100" s="2143">
        <v>8.8999999999999996E-2</v>
      </c>
      <c r="E100" s="2156"/>
      <c r="F100" s="2155"/>
    </row>
    <row r="101" spans="1:6" ht="14.25" thickBot="1">
      <c r="A101" s="1552" t="s">
        <v>1884</v>
      </c>
      <c r="B101" s="1546" t="s">
        <v>1791</v>
      </c>
      <c r="C101" s="2143">
        <v>9.8000000000000004E-2</v>
      </c>
      <c r="D101" s="2143">
        <v>9.7000000000000003E-2</v>
      </c>
      <c r="E101" s="2156"/>
      <c r="F101" s="2155"/>
    </row>
    <row r="102" spans="1:6" ht="14.25" thickBot="1">
      <c r="A102" s="1552" t="s">
        <v>1884</v>
      </c>
      <c r="B102" s="1546" t="s">
        <v>2522</v>
      </c>
      <c r="C102" s="2156"/>
      <c r="D102" s="2156"/>
      <c r="E102" s="2156"/>
      <c r="F102" s="2144">
        <v>0.05</v>
      </c>
    </row>
    <row r="103" spans="1:6" ht="24.75" thickBot="1">
      <c r="A103" s="1552" t="s">
        <v>1884</v>
      </c>
      <c r="B103" s="1546" t="s">
        <v>2523</v>
      </c>
      <c r="C103" s="2156"/>
      <c r="D103" s="2156"/>
      <c r="E103" s="2156"/>
      <c r="F103" s="2144">
        <v>0.05</v>
      </c>
    </row>
    <row r="104" spans="1:6" ht="14.25" thickBot="1">
      <c r="A104" s="1552" t="s">
        <v>1884</v>
      </c>
      <c r="B104" s="1546" t="s">
        <v>2524</v>
      </c>
      <c r="C104" s="2156"/>
      <c r="D104" s="2156"/>
      <c r="E104" s="2156"/>
      <c r="F104" s="2144">
        <v>0.05</v>
      </c>
    </row>
    <row r="105" spans="1:6" ht="14.25" thickBot="1">
      <c r="A105" s="1552" t="s">
        <v>1884</v>
      </c>
      <c r="B105" s="1546" t="s">
        <v>2525</v>
      </c>
      <c r="C105" s="2156"/>
      <c r="D105" s="2156"/>
      <c r="E105" s="2156"/>
      <c r="F105" s="2144">
        <v>0.05</v>
      </c>
    </row>
    <row r="106" spans="1:6" ht="14.25" thickBot="1">
      <c r="A106" s="1552" t="s">
        <v>1884</v>
      </c>
      <c r="B106" s="1546" t="s">
        <v>2526</v>
      </c>
      <c r="C106" s="2156"/>
      <c r="D106" s="2156"/>
      <c r="E106" s="2156"/>
      <c r="F106" s="2144">
        <v>0.05</v>
      </c>
    </row>
    <row r="107" spans="1:6" ht="24.75" thickBot="1">
      <c r="A107" s="1552" t="s">
        <v>1884</v>
      </c>
      <c r="B107" s="1546" t="s">
        <v>2527</v>
      </c>
      <c r="C107" s="2156"/>
      <c r="D107" s="2156"/>
      <c r="E107" s="2156"/>
      <c r="F107" s="2144">
        <v>0.05</v>
      </c>
    </row>
    <row r="108" spans="1:6" ht="24.75" thickBot="1">
      <c r="A108" s="1552" t="s">
        <v>1884</v>
      </c>
      <c r="B108" s="1546" t="s">
        <v>2528</v>
      </c>
      <c r="C108" s="2156"/>
      <c r="D108" s="2156"/>
      <c r="E108" s="2156"/>
      <c r="F108" s="2144">
        <v>0.05</v>
      </c>
    </row>
    <row r="109" spans="1:6" ht="24.75" thickBot="1">
      <c r="A109" s="1562" t="s">
        <v>1884</v>
      </c>
      <c r="B109" s="1558" t="s">
        <v>2529</v>
      </c>
      <c r="C109" s="2153"/>
      <c r="D109" s="2153"/>
      <c r="E109" s="2153"/>
      <c r="F109" s="2146">
        <v>0.05</v>
      </c>
    </row>
    <row r="110" spans="1:6" ht="14.25" thickBot="1">
      <c r="A110" s="1552" t="s">
        <v>367</v>
      </c>
      <c r="B110" s="1553" t="s">
        <v>2530</v>
      </c>
      <c r="C110" s="2141">
        <v>0.129</v>
      </c>
      <c r="D110" s="2141">
        <v>0.129</v>
      </c>
      <c r="E110" s="2141">
        <v>0.126</v>
      </c>
      <c r="F110" s="2142">
        <v>0.13</v>
      </c>
    </row>
    <row r="111" spans="1:6" ht="14.25" thickBot="1">
      <c r="A111" s="1552" t="s">
        <v>367</v>
      </c>
      <c r="B111" s="1546" t="s">
        <v>1553</v>
      </c>
      <c r="C111" s="2143">
        <v>0.11</v>
      </c>
      <c r="D111" s="2143">
        <v>0.11</v>
      </c>
      <c r="E111" s="2143">
        <v>9.9000000000000005E-2</v>
      </c>
      <c r="F111" s="2144">
        <v>0.128</v>
      </c>
    </row>
    <row r="112" spans="1:6" ht="14.25" thickBot="1">
      <c r="A112" s="1552" t="s">
        <v>367</v>
      </c>
      <c r="B112" s="1546" t="s">
        <v>1566</v>
      </c>
      <c r="C112" s="2143">
        <v>0.125</v>
      </c>
      <c r="D112" s="2143">
        <v>0.125</v>
      </c>
      <c r="E112" s="2143">
        <v>0.12</v>
      </c>
      <c r="F112" s="2144">
        <v>0.125</v>
      </c>
    </row>
    <row r="113" spans="1:6" ht="14.25" thickBot="1">
      <c r="A113" s="1552" t="s">
        <v>367</v>
      </c>
      <c r="B113" s="1546" t="s">
        <v>1579</v>
      </c>
      <c r="C113" s="2143">
        <v>0.13</v>
      </c>
      <c r="D113" s="2143">
        <v>0.13</v>
      </c>
      <c r="E113" s="2143">
        <v>0.13</v>
      </c>
      <c r="F113" s="2144">
        <v>0.13</v>
      </c>
    </row>
    <row r="114" spans="1:6" ht="14.25" thickBot="1">
      <c r="A114" s="1552" t="s">
        <v>367</v>
      </c>
      <c r="B114" s="1546" t="s">
        <v>1591</v>
      </c>
      <c r="C114" s="2143">
        <v>0.123</v>
      </c>
      <c r="D114" s="2143">
        <v>0.123</v>
      </c>
      <c r="E114" s="2143">
        <v>0.12</v>
      </c>
      <c r="F114" s="2144">
        <v>0.13</v>
      </c>
    </row>
    <row r="115" spans="1:6" ht="14.25" thickBot="1">
      <c r="A115" s="1552" t="s">
        <v>367</v>
      </c>
      <c r="B115" s="1546" t="s">
        <v>1602</v>
      </c>
      <c r="C115" s="2143">
        <v>0.125</v>
      </c>
      <c r="D115" s="2143">
        <v>0.125</v>
      </c>
      <c r="E115" s="2143">
        <v>0.11700000000000001</v>
      </c>
      <c r="F115" s="2144">
        <v>0.13</v>
      </c>
    </row>
    <row r="116" spans="1:6" ht="14.25" thickBot="1">
      <c r="A116" s="1552" t="s">
        <v>367</v>
      </c>
      <c r="B116" s="1546" t="s">
        <v>1613</v>
      </c>
      <c r="C116" s="2143">
        <v>0.11700000000000001</v>
      </c>
      <c r="D116" s="2143">
        <v>0.11700000000000001</v>
      </c>
      <c r="E116" s="2143">
        <v>8.7999999999999995E-2</v>
      </c>
      <c r="F116" s="2144">
        <v>0.13</v>
      </c>
    </row>
    <row r="117" spans="1:6" ht="14.25" thickBot="1">
      <c r="A117" s="1552" t="s">
        <v>367</v>
      </c>
      <c r="B117" s="1546" t="s">
        <v>1624</v>
      </c>
      <c r="C117" s="2143">
        <v>0.13</v>
      </c>
      <c r="D117" s="2143">
        <v>0.13</v>
      </c>
      <c r="E117" s="2143">
        <v>0.129</v>
      </c>
      <c r="F117" s="2144">
        <v>0.13</v>
      </c>
    </row>
    <row r="118" spans="1:6" ht="14.25" thickBot="1">
      <c r="A118" s="1552" t="s">
        <v>367</v>
      </c>
      <c r="B118" s="1546" t="s">
        <v>1636</v>
      </c>
      <c r="C118" s="2143">
        <v>0.123</v>
      </c>
      <c r="D118" s="2143">
        <v>0.123</v>
      </c>
      <c r="E118" s="2143">
        <v>0.11600000000000001</v>
      </c>
      <c r="F118" s="2144">
        <v>0.13</v>
      </c>
    </row>
    <row r="119" spans="1:6" ht="14.25" thickBot="1">
      <c r="A119" s="1552" t="s">
        <v>367</v>
      </c>
      <c r="B119" s="1546" t="s">
        <v>1646</v>
      </c>
      <c r="C119" s="2143">
        <v>0.127</v>
      </c>
      <c r="D119" s="2143">
        <v>0.127</v>
      </c>
      <c r="E119" s="2143">
        <v>0.124</v>
      </c>
      <c r="F119" s="2144">
        <v>0.13</v>
      </c>
    </row>
    <row r="120" spans="1:6" ht="14.25" thickBot="1">
      <c r="A120" s="1552" t="s">
        <v>367</v>
      </c>
      <c r="B120" s="1546" t="s">
        <v>1656</v>
      </c>
      <c r="C120" s="2143">
        <v>0.125</v>
      </c>
      <c r="D120" s="2143">
        <v>0.125</v>
      </c>
      <c r="E120" s="2143">
        <v>0.122</v>
      </c>
      <c r="F120" s="2144">
        <v>0.13</v>
      </c>
    </row>
    <row r="121" spans="1:6" ht="14.25" thickBot="1">
      <c r="A121" s="1552" t="s">
        <v>367</v>
      </c>
      <c r="B121" s="1546" t="s">
        <v>1666</v>
      </c>
      <c r="C121" s="2143">
        <v>0.13</v>
      </c>
      <c r="D121" s="2143">
        <v>0.13</v>
      </c>
      <c r="E121" s="2143">
        <v>0.13</v>
      </c>
      <c r="F121" s="2144">
        <v>0.13</v>
      </c>
    </row>
    <row r="122" spans="1:6" ht="14.25" thickBot="1">
      <c r="A122" s="1552" t="s">
        <v>367</v>
      </c>
      <c r="B122" s="1546" t="s">
        <v>1676</v>
      </c>
      <c r="C122" s="2143">
        <v>0.13</v>
      </c>
      <c r="D122" s="2143">
        <v>0.13</v>
      </c>
      <c r="E122" s="2143">
        <v>0.125</v>
      </c>
      <c r="F122" s="2144">
        <v>0.13</v>
      </c>
    </row>
    <row r="123" spans="1:6" ht="14.25" thickBot="1">
      <c r="A123" s="1552" t="s">
        <v>367</v>
      </c>
      <c r="B123" s="1546" t="s">
        <v>1687</v>
      </c>
      <c r="C123" s="2143">
        <v>0.129</v>
      </c>
      <c r="D123" s="2143">
        <v>0.129</v>
      </c>
      <c r="E123" s="2143">
        <v>0.123</v>
      </c>
      <c r="F123" s="2144">
        <v>0.13</v>
      </c>
    </row>
    <row r="124" spans="1:6" ht="14.25" thickBot="1">
      <c r="A124" s="1552" t="s">
        <v>367</v>
      </c>
      <c r="B124" s="1546" t="s">
        <v>1698</v>
      </c>
      <c r="C124" s="2143">
        <v>0.10199999999999999</v>
      </c>
      <c r="D124" s="2143">
        <v>0.10100000000000001</v>
      </c>
      <c r="E124" s="2143">
        <v>0.08</v>
      </c>
      <c r="F124" s="2155"/>
    </row>
    <row r="125" spans="1:6" ht="14.25" thickBot="1">
      <c r="A125" s="1552" t="s">
        <v>367</v>
      </c>
      <c r="B125" s="1546" t="s">
        <v>1708</v>
      </c>
      <c r="C125" s="2143">
        <v>0.13</v>
      </c>
      <c r="D125" s="2143">
        <v>0.13</v>
      </c>
      <c r="E125" s="2143">
        <v>0.129</v>
      </c>
      <c r="F125" s="2155"/>
    </row>
    <row r="126" spans="1:6" ht="14.25" thickBot="1">
      <c r="A126" s="1552" t="s">
        <v>367</v>
      </c>
      <c r="B126" s="1546" t="s">
        <v>1718</v>
      </c>
      <c r="C126" s="2143">
        <v>0.13</v>
      </c>
      <c r="D126" s="2143">
        <v>0.13</v>
      </c>
      <c r="E126" s="2143">
        <v>0.126</v>
      </c>
      <c r="F126" s="2155"/>
    </row>
    <row r="127" spans="1:6" ht="14.25" thickBot="1">
      <c r="A127" s="1552" t="s">
        <v>367</v>
      </c>
      <c r="B127" s="1546" t="s">
        <v>1728</v>
      </c>
      <c r="C127" s="2143">
        <v>0.125</v>
      </c>
      <c r="D127" s="2143">
        <v>0.125</v>
      </c>
      <c r="E127" s="2143">
        <v>0.121</v>
      </c>
      <c r="F127" s="2155"/>
    </row>
    <row r="128" spans="1:6" ht="14.25" thickBot="1">
      <c r="A128" s="1552" t="s">
        <v>367</v>
      </c>
      <c r="B128" s="1546" t="s">
        <v>1738</v>
      </c>
      <c r="C128" s="2143">
        <v>0.12</v>
      </c>
      <c r="D128" s="2143">
        <v>0.12</v>
      </c>
      <c r="E128" s="2143">
        <v>0.105</v>
      </c>
      <c r="F128" s="2155"/>
    </row>
    <row r="129" spans="1:6" ht="14.25" thickBot="1">
      <c r="A129" s="1552" t="s">
        <v>367</v>
      </c>
      <c r="B129" s="1546" t="s">
        <v>1747</v>
      </c>
      <c r="C129" s="2143">
        <v>0.13</v>
      </c>
      <c r="D129" s="2143">
        <v>0.13</v>
      </c>
      <c r="E129" s="2143">
        <v>0.126</v>
      </c>
      <c r="F129" s="2155"/>
    </row>
    <row r="130" spans="1:6" ht="14.25" thickBot="1">
      <c r="A130" s="1552" t="s">
        <v>367</v>
      </c>
      <c r="B130" s="1546" t="s">
        <v>1756</v>
      </c>
      <c r="C130" s="2143">
        <v>0.125</v>
      </c>
      <c r="D130" s="2143">
        <v>0.125</v>
      </c>
      <c r="E130" s="2143">
        <v>0.122</v>
      </c>
      <c r="F130" s="2155"/>
    </row>
    <row r="131" spans="1:6" ht="14.25" thickBot="1">
      <c r="A131" s="1552" t="s">
        <v>367</v>
      </c>
      <c r="B131" s="1546" t="s">
        <v>1764</v>
      </c>
      <c r="C131" s="2143">
        <v>0.127</v>
      </c>
      <c r="D131" s="2143">
        <v>0.126</v>
      </c>
      <c r="E131" s="2143">
        <v>0.123</v>
      </c>
      <c r="F131" s="2155"/>
    </row>
    <row r="132" spans="1:6" ht="14.25" thickBot="1">
      <c r="A132" s="1552" t="s">
        <v>367</v>
      </c>
      <c r="B132" s="1546" t="s">
        <v>1771</v>
      </c>
      <c r="C132" s="2143">
        <v>9.0999999999999998E-2</v>
      </c>
      <c r="D132" s="2143">
        <v>0.121</v>
      </c>
      <c r="E132" s="2143">
        <v>9.9000000000000005E-2</v>
      </c>
      <c r="F132" s="2155"/>
    </row>
    <row r="133" spans="1:6" ht="14.25" thickBot="1">
      <c r="A133" s="1552" t="s">
        <v>367</v>
      </c>
      <c r="B133" s="1546" t="s">
        <v>1778</v>
      </c>
      <c r="C133" s="2143">
        <v>0.13</v>
      </c>
      <c r="D133" s="2143">
        <v>0.13</v>
      </c>
      <c r="E133" s="2143">
        <v>0.129</v>
      </c>
      <c r="F133" s="2155"/>
    </row>
    <row r="134" spans="1:6" ht="14.25" thickBot="1">
      <c r="A134" s="1552" t="s">
        <v>367</v>
      </c>
      <c r="B134" s="1546" t="s">
        <v>2531</v>
      </c>
      <c r="C134" s="2143">
        <v>6.8000000000000005E-2</v>
      </c>
      <c r="D134" s="2143">
        <v>6.5000000000000002E-2</v>
      </c>
      <c r="E134" s="2143">
        <v>6.5000000000000002E-2</v>
      </c>
      <c r="F134" s="2144">
        <v>0.13</v>
      </c>
    </row>
    <row r="135" spans="1:6" ht="14.25" thickBot="1">
      <c r="A135" s="1552" t="s">
        <v>367</v>
      </c>
      <c r="B135" s="1546" t="s">
        <v>1792</v>
      </c>
      <c r="C135" s="2143">
        <v>0.123</v>
      </c>
      <c r="D135" s="2143">
        <v>0.123</v>
      </c>
      <c r="E135" s="2143">
        <v>0.11</v>
      </c>
      <c r="F135" s="2155"/>
    </row>
    <row r="136" spans="1:6" ht="14.25" thickBot="1">
      <c r="A136" s="1552" t="s">
        <v>367</v>
      </c>
      <c r="B136" s="1546" t="s">
        <v>1799</v>
      </c>
      <c r="C136" s="2143">
        <v>0.13</v>
      </c>
      <c r="D136" s="2143">
        <v>0.13</v>
      </c>
      <c r="E136" s="2143">
        <v>0.125</v>
      </c>
      <c r="F136" s="2155"/>
    </row>
    <row r="137" spans="1:6" ht="14.25" thickBot="1">
      <c r="A137" s="1552" t="s">
        <v>367</v>
      </c>
      <c r="B137" s="1546" t="s">
        <v>1806</v>
      </c>
      <c r="C137" s="2143">
        <v>0.121</v>
      </c>
      <c r="D137" s="2143">
        <v>0.122</v>
      </c>
      <c r="E137" s="2143">
        <v>0.115</v>
      </c>
      <c r="F137" s="2155"/>
    </row>
    <row r="138" spans="1:6" ht="14.25" thickBot="1">
      <c r="A138" s="1552" t="s">
        <v>367</v>
      </c>
      <c r="B138" s="1546" t="s">
        <v>2532</v>
      </c>
      <c r="C138" s="2143">
        <v>0.105</v>
      </c>
      <c r="D138" s="2143">
        <v>0.125</v>
      </c>
      <c r="E138" s="2143">
        <v>0.112</v>
      </c>
      <c r="F138" s="2155"/>
    </row>
    <row r="139" spans="1:6" ht="14.25" thickBot="1">
      <c r="A139" s="1552" t="s">
        <v>367</v>
      </c>
      <c r="B139" s="1546" t="s">
        <v>2533</v>
      </c>
      <c r="C139" s="2143">
        <v>0.127</v>
      </c>
      <c r="D139" s="2143">
        <v>0.127</v>
      </c>
      <c r="E139" s="2143">
        <v>0.122</v>
      </c>
      <c r="F139" s="2144">
        <v>0.13</v>
      </c>
    </row>
    <row r="140" spans="1:6" ht="14.25" thickBot="1">
      <c r="A140" s="1552" t="s">
        <v>367</v>
      </c>
      <c r="B140" s="1546" t="s">
        <v>2534</v>
      </c>
      <c r="C140" s="2143">
        <v>0.125</v>
      </c>
      <c r="D140" s="2143">
        <v>0.125</v>
      </c>
      <c r="E140" s="2143">
        <v>0.11899999999999999</v>
      </c>
      <c r="F140" s="2144">
        <v>0.13</v>
      </c>
    </row>
    <row r="141" spans="1:6" ht="14.25" thickBot="1">
      <c r="A141" s="1552" t="s">
        <v>367</v>
      </c>
      <c r="B141" s="1546" t="s">
        <v>1825</v>
      </c>
      <c r="C141" s="2143">
        <v>0.125</v>
      </c>
      <c r="D141" s="2143">
        <v>0.125</v>
      </c>
      <c r="E141" s="2143">
        <v>0.11700000000000001</v>
      </c>
      <c r="F141" s="2155"/>
    </row>
    <row r="142" spans="1:6" ht="14.25" thickBot="1">
      <c r="A142" s="1552" t="s">
        <v>367</v>
      </c>
      <c r="B142" s="1546" t="s">
        <v>1830</v>
      </c>
      <c r="C142" s="2143">
        <v>0.125</v>
      </c>
      <c r="D142" s="2143">
        <v>0.125</v>
      </c>
      <c r="E142" s="2143">
        <v>0.115</v>
      </c>
      <c r="F142" s="2155"/>
    </row>
    <row r="143" spans="1:6" ht="14.25" thickBot="1">
      <c r="A143" s="1552" t="s">
        <v>367</v>
      </c>
      <c r="B143" s="1546" t="s">
        <v>1835</v>
      </c>
      <c r="C143" s="2143">
        <v>0.121</v>
      </c>
      <c r="D143" s="2143">
        <v>0.121</v>
      </c>
      <c r="E143" s="2143">
        <v>0.108</v>
      </c>
      <c r="F143" s="2155"/>
    </row>
    <row r="144" spans="1:6" ht="14.25" thickBot="1">
      <c r="A144" s="1552" t="s">
        <v>367</v>
      </c>
      <c r="B144" s="2147" t="s">
        <v>2535</v>
      </c>
      <c r="C144" s="2148">
        <v>0.126</v>
      </c>
      <c r="D144" s="2148">
        <v>0.126</v>
      </c>
      <c r="E144" s="2148">
        <v>0.121</v>
      </c>
      <c r="F144" s="2155"/>
    </row>
    <row r="145" spans="1:6" ht="14.25" thickBot="1">
      <c r="A145" s="1562" t="s">
        <v>367</v>
      </c>
      <c r="B145" s="2149" t="s">
        <v>2536</v>
      </c>
      <c r="C145" s="2157"/>
      <c r="D145" s="2157"/>
      <c r="E145" s="2157"/>
      <c r="F145" s="2150">
        <v>0.05</v>
      </c>
    </row>
    <row r="146" spans="1:6" ht="24.75" thickBot="1">
      <c r="A146" s="2151" t="s">
        <v>367</v>
      </c>
      <c r="B146" s="1556" t="s">
        <v>2537</v>
      </c>
      <c r="C146" s="2156"/>
      <c r="D146" s="2156"/>
      <c r="E146" s="2156"/>
      <c r="F146" s="2152">
        <v>0.05</v>
      </c>
    </row>
    <row r="147" spans="1:6" ht="24.75" thickBot="1">
      <c r="A147" s="1552" t="s">
        <v>367</v>
      </c>
      <c r="B147" s="1546" t="s">
        <v>2538</v>
      </c>
      <c r="C147" s="2156"/>
      <c r="D147" s="2156"/>
      <c r="E147" s="2156"/>
      <c r="F147" s="2144">
        <v>0.05</v>
      </c>
    </row>
    <row r="148" spans="1:6" ht="24.75" thickBot="1">
      <c r="A148" s="1552" t="s">
        <v>367</v>
      </c>
      <c r="B148" s="1546" t="s">
        <v>2539</v>
      </c>
      <c r="C148" s="2156"/>
      <c r="D148" s="2156"/>
      <c r="E148" s="2156"/>
      <c r="F148" s="2144">
        <v>0.05</v>
      </c>
    </row>
    <row r="149" spans="1:6" ht="24.75" thickBot="1">
      <c r="A149" s="1552" t="s">
        <v>367</v>
      </c>
      <c r="B149" s="1546" t="s">
        <v>2540</v>
      </c>
      <c r="C149" s="2156"/>
      <c r="D149" s="2156"/>
      <c r="E149" s="2156"/>
      <c r="F149" s="2144">
        <v>0.05</v>
      </c>
    </row>
    <row r="150" spans="1:6" ht="24.75" thickBot="1">
      <c r="A150" s="1552" t="s">
        <v>367</v>
      </c>
      <c r="B150" s="1546" t="s">
        <v>2541</v>
      </c>
      <c r="C150" s="2156"/>
      <c r="D150" s="2156"/>
      <c r="E150" s="2156"/>
      <c r="F150" s="2144">
        <v>0.05</v>
      </c>
    </row>
    <row r="151" spans="1:6" ht="24.75" thickBot="1">
      <c r="A151" s="1552" t="s">
        <v>367</v>
      </c>
      <c r="B151" s="1546" t="s">
        <v>2542</v>
      </c>
      <c r="C151" s="2156"/>
      <c r="D151" s="2156"/>
      <c r="E151" s="2156"/>
      <c r="F151" s="2144">
        <v>0.05</v>
      </c>
    </row>
    <row r="152" spans="1:6" ht="24.75" thickBot="1">
      <c r="A152" s="1552" t="s">
        <v>367</v>
      </c>
      <c r="B152" s="1546" t="s">
        <v>1868</v>
      </c>
      <c r="C152" s="2156"/>
      <c r="D152" s="2156"/>
      <c r="E152" s="2156"/>
      <c r="F152" s="2144">
        <v>0.05</v>
      </c>
    </row>
    <row r="153" spans="1:6" ht="14.25" thickBot="1">
      <c r="A153" s="1552" t="s">
        <v>367</v>
      </c>
      <c r="B153" s="1546" t="s">
        <v>2543</v>
      </c>
      <c r="C153" s="2156"/>
      <c r="D153" s="2156"/>
      <c r="E153" s="2156"/>
      <c r="F153" s="2144">
        <v>0.05</v>
      </c>
    </row>
    <row r="154" spans="1:6" ht="14.25" thickBot="1">
      <c r="A154" s="1552" t="s">
        <v>367</v>
      </c>
      <c r="B154" s="1546" t="s">
        <v>2544</v>
      </c>
      <c r="C154" s="2156"/>
      <c r="D154" s="2156"/>
      <c r="E154" s="2156"/>
      <c r="F154" s="2144">
        <v>0.05</v>
      </c>
    </row>
    <row r="155" spans="1:6" ht="24.75" thickBot="1">
      <c r="A155" s="1552" t="s">
        <v>367</v>
      </c>
      <c r="B155" s="1546" t="s">
        <v>2545</v>
      </c>
      <c r="C155" s="2156"/>
      <c r="D155" s="2156"/>
      <c r="E155" s="2156"/>
      <c r="F155" s="2144">
        <v>0.05</v>
      </c>
    </row>
    <row r="156" spans="1:6" ht="24.75" thickBot="1">
      <c r="A156" s="1552" t="s">
        <v>367</v>
      </c>
      <c r="B156" s="1546" t="s">
        <v>2546</v>
      </c>
      <c r="C156" s="2156"/>
      <c r="D156" s="2156"/>
      <c r="E156" s="2156"/>
      <c r="F156" s="2144">
        <v>0.05</v>
      </c>
    </row>
    <row r="157" spans="1:6" ht="14.25" thickBot="1">
      <c r="A157" s="1562" t="s">
        <v>367</v>
      </c>
      <c r="B157" s="1558" t="s">
        <v>2547</v>
      </c>
      <c r="C157" s="2153"/>
      <c r="D157" s="2153"/>
      <c r="E157" s="2153"/>
      <c r="F157" s="2146">
        <v>0.05</v>
      </c>
    </row>
    <row r="158" spans="1:6" ht="14.25" thickBot="1">
      <c r="A158" s="1552" t="s">
        <v>1887</v>
      </c>
      <c r="B158" s="1553" t="s">
        <v>2548</v>
      </c>
      <c r="C158" s="2141">
        <v>0.13</v>
      </c>
      <c r="D158" s="2141">
        <v>0.13</v>
      </c>
      <c r="E158" s="2141">
        <v>0.13</v>
      </c>
      <c r="F158" s="2142">
        <v>0.13</v>
      </c>
    </row>
    <row r="159" spans="1:6" ht="14.25" thickBot="1">
      <c r="A159" s="1552" t="s">
        <v>1887</v>
      </c>
      <c r="B159" s="1546" t="s">
        <v>1554</v>
      </c>
      <c r="C159" s="2143">
        <v>0.13</v>
      </c>
      <c r="D159" s="2143">
        <v>0.13</v>
      </c>
      <c r="E159" s="2143">
        <v>0.13</v>
      </c>
      <c r="F159" s="2144">
        <v>0.13</v>
      </c>
    </row>
    <row r="160" spans="1:6" ht="14.25" thickBot="1">
      <c r="A160" s="1552" t="s">
        <v>1887</v>
      </c>
      <c r="B160" s="1546" t="s">
        <v>1567</v>
      </c>
      <c r="C160" s="2143">
        <v>0.13</v>
      </c>
      <c r="D160" s="2143">
        <v>0.13</v>
      </c>
      <c r="E160" s="2143">
        <v>0.129</v>
      </c>
      <c r="F160" s="2144">
        <v>0.13</v>
      </c>
    </row>
    <row r="161" spans="1:6" ht="14.25" thickBot="1">
      <c r="A161" s="1552" t="s">
        <v>1887</v>
      </c>
      <c r="B161" s="1546" t="s">
        <v>1580</v>
      </c>
      <c r="C161" s="2143">
        <v>0.128</v>
      </c>
      <c r="D161" s="2143">
        <v>0.128</v>
      </c>
      <c r="E161" s="2143">
        <v>0.125</v>
      </c>
      <c r="F161" s="2144">
        <v>0.13</v>
      </c>
    </row>
    <row r="162" spans="1:6" ht="14.25" thickBot="1">
      <c r="A162" s="1552" t="s">
        <v>1887</v>
      </c>
      <c r="B162" s="1546" t="s">
        <v>1592</v>
      </c>
      <c r="C162" s="2143">
        <v>0.122</v>
      </c>
      <c r="D162" s="2143">
        <v>0.122</v>
      </c>
      <c r="E162" s="2143">
        <v>0.126</v>
      </c>
      <c r="F162" s="2144">
        <v>0.122</v>
      </c>
    </row>
    <row r="163" spans="1:6" ht="14.25" thickBot="1">
      <c r="A163" s="1552" t="s">
        <v>1887</v>
      </c>
      <c r="B163" s="1546" t="s">
        <v>1603</v>
      </c>
      <c r="C163" s="2143">
        <v>0.13</v>
      </c>
      <c r="D163" s="2143">
        <v>0.13</v>
      </c>
      <c r="E163" s="2143">
        <v>0.125</v>
      </c>
      <c r="F163" s="2144">
        <v>0.13</v>
      </c>
    </row>
    <row r="164" spans="1:6" ht="14.25" thickBot="1">
      <c r="A164" s="1552" t="s">
        <v>1887</v>
      </c>
      <c r="B164" s="1546" t="s">
        <v>1614</v>
      </c>
      <c r="C164" s="2143">
        <v>0.13</v>
      </c>
      <c r="D164" s="2143">
        <v>0.13</v>
      </c>
      <c r="E164" s="2143">
        <v>0.13</v>
      </c>
      <c r="F164" s="2144">
        <v>0.13</v>
      </c>
    </row>
    <row r="165" spans="1:6" ht="14.25" thickBot="1">
      <c r="A165" s="1552" t="s">
        <v>1887</v>
      </c>
      <c r="B165" s="1546" t="s">
        <v>1625</v>
      </c>
      <c r="C165" s="2143">
        <v>0.13</v>
      </c>
      <c r="D165" s="2143">
        <v>0.13</v>
      </c>
      <c r="E165" s="2143">
        <v>0.124</v>
      </c>
      <c r="F165" s="2144">
        <v>0.13</v>
      </c>
    </row>
    <row r="166" spans="1:6" ht="14.25" thickBot="1">
      <c r="A166" s="1552" t="s">
        <v>1887</v>
      </c>
      <c r="B166" s="1546" t="s">
        <v>1637</v>
      </c>
      <c r="C166" s="2143">
        <v>0.13</v>
      </c>
      <c r="D166" s="2143">
        <v>0.13</v>
      </c>
      <c r="E166" s="2143">
        <v>0.13</v>
      </c>
      <c r="F166" s="2144">
        <v>0.13</v>
      </c>
    </row>
    <row r="167" spans="1:6" ht="14.25" thickBot="1">
      <c r="A167" s="1552" t="s">
        <v>1887</v>
      </c>
      <c r="B167" s="1546" t="s">
        <v>1647</v>
      </c>
      <c r="C167" s="2143">
        <v>0.125</v>
      </c>
      <c r="D167" s="2143">
        <v>0.125</v>
      </c>
      <c r="E167" s="2143">
        <v>0.121</v>
      </c>
      <c r="F167" s="2155"/>
    </row>
    <row r="168" spans="1:6" ht="14.25" thickBot="1">
      <c r="A168" s="1552" t="s">
        <v>1887</v>
      </c>
      <c r="B168" s="1546" t="s">
        <v>1657</v>
      </c>
      <c r="C168" s="2143">
        <v>0.13</v>
      </c>
      <c r="D168" s="2143">
        <v>0.13</v>
      </c>
      <c r="E168" s="2143">
        <v>0.126</v>
      </c>
      <c r="F168" s="2155"/>
    </row>
    <row r="169" spans="1:6" ht="14.25" thickBot="1">
      <c r="A169" s="1552" t="s">
        <v>1887</v>
      </c>
      <c r="B169" s="1546" t="s">
        <v>1667</v>
      </c>
      <c r="C169" s="2143">
        <v>0.128</v>
      </c>
      <c r="D169" s="2143">
        <v>0.129</v>
      </c>
      <c r="E169" s="2143">
        <v>0.13</v>
      </c>
      <c r="F169" s="2155"/>
    </row>
    <row r="170" spans="1:6" ht="14.25" thickBot="1">
      <c r="A170" s="1552" t="s">
        <v>1887</v>
      </c>
      <c r="B170" s="1546" t="s">
        <v>1677</v>
      </c>
      <c r="C170" s="2143">
        <v>0.14099999999999999</v>
      </c>
      <c r="D170" s="2143">
        <v>0.13</v>
      </c>
      <c r="E170" s="2143">
        <v>0.125</v>
      </c>
      <c r="F170" s="2155"/>
    </row>
    <row r="171" spans="1:6" ht="14.25" thickBot="1">
      <c r="A171" s="1552" t="s">
        <v>1887</v>
      </c>
      <c r="B171" s="1546" t="s">
        <v>2549</v>
      </c>
      <c r="C171" s="2143">
        <v>0.127</v>
      </c>
      <c r="D171" s="2143">
        <v>0.126</v>
      </c>
      <c r="E171" s="2143">
        <v>0.126</v>
      </c>
      <c r="F171" s="2144">
        <v>0.11799999999999999</v>
      </c>
    </row>
    <row r="172" spans="1:6" ht="14.25" thickBot="1">
      <c r="A172" s="1552" t="s">
        <v>1887</v>
      </c>
      <c r="B172" s="1546" t="s">
        <v>2550</v>
      </c>
      <c r="C172" s="2143">
        <v>0.13</v>
      </c>
      <c r="D172" s="2143">
        <v>0.13</v>
      </c>
      <c r="E172" s="2143">
        <v>0.13</v>
      </c>
      <c r="F172" s="2155"/>
    </row>
    <row r="173" spans="1:6" ht="14.25" thickBot="1">
      <c r="A173" s="1552" t="s">
        <v>1887</v>
      </c>
      <c r="B173" s="1546" t="s">
        <v>1709</v>
      </c>
      <c r="C173" s="2143">
        <v>0.13</v>
      </c>
      <c r="D173" s="2143">
        <v>0.13</v>
      </c>
      <c r="E173" s="2143">
        <v>0.13</v>
      </c>
      <c r="F173" s="2155"/>
    </row>
    <row r="174" spans="1:6" ht="14.25" thickBot="1">
      <c r="A174" s="1552" t="s">
        <v>1887</v>
      </c>
      <c r="B174" s="1546" t="s">
        <v>2551</v>
      </c>
      <c r="C174" s="2143">
        <v>0.13</v>
      </c>
      <c r="D174" s="2143">
        <v>0.13</v>
      </c>
      <c r="E174" s="2143">
        <v>0.13</v>
      </c>
      <c r="F174" s="2144">
        <v>0.13</v>
      </c>
    </row>
    <row r="175" spans="1:6" ht="14.25" thickBot="1">
      <c r="A175" s="1552" t="s">
        <v>1887</v>
      </c>
      <c r="B175" s="1546" t="s">
        <v>2552</v>
      </c>
      <c r="C175" s="2143">
        <v>0.13</v>
      </c>
      <c r="D175" s="2143">
        <v>0.13</v>
      </c>
      <c r="E175" s="2143">
        <v>0.13</v>
      </c>
      <c r="F175" s="2144">
        <v>0.13</v>
      </c>
    </row>
    <row r="176" spans="1:6" ht="14.25" thickBot="1">
      <c r="A176" s="1552" t="s">
        <v>1887</v>
      </c>
      <c r="B176" s="1546" t="s">
        <v>1739</v>
      </c>
      <c r="C176" s="2143">
        <v>0.13</v>
      </c>
      <c r="D176" s="2143">
        <v>0.13</v>
      </c>
      <c r="E176" s="2143">
        <v>0.13</v>
      </c>
      <c r="F176" s="2144">
        <v>0.13</v>
      </c>
    </row>
    <row r="177" spans="1:6" ht="14.25" thickBot="1">
      <c r="A177" s="1552" t="s">
        <v>1887</v>
      </c>
      <c r="B177" s="1546" t="s">
        <v>2553</v>
      </c>
      <c r="C177" s="2143">
        <v>0.13</v>
      </c>
      <c r="D177" s="2143">
        <v>0.13</v>
      </c>
      <c r="E177" s="2143">
        <v>0.13</v>
      </c>
      <c r="F177" s="2144">
        <v>0.13</v>
      </c>
    </row>
    <row r="178" spans="1:6" ht="14.25" thickBot="1">
      <c r="A178" s="1552" t="s">
        <v>1887</v>
      </c>
      <c r="B178" s="1546" t="s">
        <v>1757</v>
      </c>
      <c r="C178" s="2143">
        <v>0.13</v>
      </c>
      <c r="D178" s="2143">
        <v>0.13</v>
      </c>
      <c r="E178" s="2143">
        <v>0.13</v>
      </c>
      <c r="F178" s="2144">
        <v>0.127</v>
      </c>
    </row>
    <row r="179" spans="1:6" ht="14.25" thickBot="1">
      <c r="A179" s="1552" t="s">
        <v>1887</v>
      </c>
      <c r="B179" s="1546" t="s">
        <v>1765</v>
      </c>
      <c r="C179" s="2143">
        <v>0.13</v>
      </c>
      <c r="D179" s="2143">
        <v>0.13</v>
      </c>
      <c r="E179" s="2143">
        <v>0.13</v>
      </c>
      <c r="F179" s="2155"/>
    </row>
    <row r="180" spans="1:6" ht="14.25" thickBot="1">
      <c r="A180" s="1552" t="s">
        <v>1887</v>
      </c>
      <c r="B180" s="1546" t="s">
        <v>2554</v>
      </c>
      <c r="C180" s="2143">
        <v>0.13</v>
      </c>
      <c r="D180" s="2143">
        <v>0.13</v>
      </c>
      <c r="E180" s="2143">
        <v>0.125</v>
      </c>
      <c r="F180" s="2144">
        <v>0.13</v>
      </c>
    </row>
    <row r="181" spans="1:6" ht="14.25" thickBot="1">
      <c r="A181" s="1552" t="s">
        <v>1887</v>
      </c>
      <c r="B181" s="1546" t="s">
        <v>1779</v>
      </c>
      <c r="C181" s="2143">
        <v>0.122</v>
      </c>
      <c r="D181" s="2143">
        <v>0.123</v>
      </c>
      <c r="E181" s="2143">
        <v>0.126</v>
      </c>
      <c r="F181" s="2144">
        <v>0.121</v>
      </c>
    </row>
    <row r="182" spans="1:6" ht="14.25" thickBot="1">
      <c r="A182" s="1552" t="s">
        <v>1887</v>
      </c>
      <c r="B182" s="1546" t="s">
        <v>1786</v>
      </c>
      <c r="C182" s="2143">
        <v>0.125</v>
      </c>
      <c r="D182" s="2143">
        <v>0.125</v>
      </c>
      <c r="E182" s="2143">
        <v>0.11700000000000001</v>
      </c>
      <c r="F182" s="2144">
        <v>0.13</v>
      </c>
    </row>
    <row r="183" spans="1:6" ht="14.25" thickBot="1">
      <c r="A183" s="1552" t="s">
        <v>1887</v>
      </c>
      <c r="B183" s="1546" t="s">
        <v>1793</v>
      </c>
      <c r="C183" s="2143">
        <v>0.127</v>
      </c>
      <c r="D183" s="2143">
        <v>0.127</v>
      </c>
      <c r="E183" s="2143">
        <v>0.128</v>
      </c>
      <c r="F183" s="2155"/>
    </row>
    <row r="184" spans="1:6" ht="14.25" thickBot="1">
      <c r="A184" s="1552" t="s">
        <v>1887</v>
      </c>
      <c r="B184" s="1546" t="s">
        <v>1800</v>
      </c>
      <c r="C184" s="2143">
        <v>0.125</v>
      </c>
      <c r="D184" s="2143">
        <v>0.125</v>
      </c>
      <c r="E184" s="2143">
        <v>0.127</v>
      </c>
      <c r="F184" s="2155"/>
    </row>
    <row r="185" spans="1:6" ht="14.25" thickBot="1">
      <c r="A185" s="1552" t="s">
        <v>1887</v>
      </c>
      <c r="B185" s="1546" t="s">
        <v>2555</v>
      </c>
      <c r="C185" s="2143">
        <v>0.127</v>
      </c>
      <c r="D185" s="2143">
        <v>0.127</v>
      </c>
      <c r="E185" s="2143">
        <v>0.128</v>
      </c>
      <c r="F185" s="2144">
        <v>0.13</v>
      </c>
    </row>
    <row r="186" spans="1:6" ht="24.75" thickBot="1">
      <c r="A186" s="1552" t="s">
        <v>1887</v>
      </c>
      <c r="B186" s="1546" t="s">
        <v>2556</v>
      </c>
      <c r="C186" s="2156"/>
      <c r="D186" s="2156"/>
      <c r="E186" s="2156"/>
      <c r="F186" s="2144">
        <v>0.05</v>
      </c>
    </row>
    <row r="187" spans="1:6" ht="14.25" thickBot="1">
      <c r="A187" s="1552" t="s">
        <v>1887</v>
      </c>
      <c r="B187" s="1546" t="s">
        <v>2557</v>
      </c>
      <c r="C187" s="2156"/>
      <c r="D187" s="2156"/>
      <c r="E187" s="2156"/>
      <c r="F187" s="2144">
        <v>0.05</v>
      </c>
    </row>
    <row r="188" spans="1:6" ht="14.25" thickBot="1">
      <c r="A188" s="1552" t="s">
        <v>1887</v>
      </c>
      <c r="B188" s="1546" t="s">
        <v>2558</v>
      </c>
      <c r="C188" s="2156"/>
      <c r="D188" s="2156"/>
      <c r="E188" s="2156"/>
      <c r="F188" s="2144">
        <v>0.05</v>
      </c>
    </row>
    <row r="189" spans="1:6" ht="24.75" thickBot="1">
      <c r="A189" s="1552" t="s">
        <v>1887</v>
      </c>
      <c r="B189" s="1546" t="s">
        <v>2559</v>
      </c>
      <c r="C189" s="2156"/>
      <c r="D189" s="2156"/>
      <c r="E189" s="2156"/>
      <c r="F189" s="2144">
        <v>0.05</v>
      </c>
    </row>
    <row r="190" spans="1:6" ht="24.75" thickBot="1">
      <c r="A190" s="1552" t="s">
        <v>1887</v>
      </c>
      <c r="B190" s="1546" t="s">
        <v>2560</v>
      </c>
      <c r="C190" s="2156"/>
      <c r="D190" s="2156"/>
      <c r="E190" s="2156"/>
      <c r="F190" s="2144">
        <v>0.05</v>
      </c>
    </row>
    <row r="191" spans="1:6" ht="24.75" thickBot="1">
      <c r="A191" s="1552" t="s">
        <v>1887</v>
      </c>
      <c r="B191" s="1546" t="s">
        <v>2561</v>
      </c>
      <c r="C191" s="2156"/>
      <c r="D191" s="2156"/>
      <c r="E191" s="2156"/>
      <c r="F191" s="2144">
        <v>0.05</v>
      </c>
    </row>
    <row r="192" spans="1:6" ht="24.75" thickBot="1">
      <c r="A192" s="1552" t="s">
        <v>1887</v>
      </c>
      <c r="B192" s="1546" t="s">
        <v>2562</v>
      </c>
      <c r="C192" s="2156"/>
      <c r="D192" s="2156"/>
      <c r="E192" s="2156"/>
      <c r="F192" s="2144">
        <v>0.05</v>
      </c>
    </row>
    <row r="193" spans="1:6" ht="24.75" thickBot="1">
      <c r="A193" s="1552" t="s">
        <v>1887</v>
      </c>
      <c r="B193" s="1546" t="s">
        <v>2563</v>
      </c>
      <c r="C193" s="2156"/>
      <c r="D193" s="2156"/>
      <c r="E193" s="2156"/>
      <c r="F193" s="2144">
        <v>0.05</v>
      </c>
    </row>
    <row r="194" spans="1:6" ht="24.75" thickBot="1">
      <c r="A194" s="1552" t="s">
        <v>1887</v>
      </c>
      <c r="B194" s="1546" t="s">
        <v>2564</v>
      </c>
      <c r="C194" s="2156"/>
      <c r="D194" s="2156"/>
      <c r="E194" s="2156"/>
      <c r="F194" s="2144">
        <v>0.05</v>
      </c>
    </row>
    <row r="195" spans="1:6" ht="14.25" thickBot="1">
      <c r="A195" s="1552" t="s">
        <v>1887</v>
      </c>
      <c r="B195" s="1546" t="s">
        <v>2565</v>
      </c>
      <c r="C195" s="2156"/>
      <c r="D195" s="2156"/>
      <c r="E195" s="2156"/>
      <c r="F195" s="2144">
        <v>0.05</v>
      </c>
    </row>
    <row r="196" spans="1:6" ht="24.75" thickBot="1">
      <c r="A196" s="1552" t="s">
        <v>1887</v>
      </c>
      <c r="B196" s="1546" t="s">
        <v>2566</v>
      </c>
      <c r="C196" s="2156"/>
      <c r="D196" s="2156"/>
      <c r="E196" s="2156"/>
      <c r="F196" s="2144">
        <v>0.05</v>
      </c>
    </row>
    <row r="197" spans="1:6" ht="24.75" thickBot="1">
      <c r="A197" s="1552" t="s">
        <v>1887</v>
      </c>
      <c r="B197" s="1546" t="s">
        <v>2567</v>
      </c>
      <c r="C197" s="2156"/>
      <c r="D197" s="2156"/>
      <c r="E197" s="2156"/>
      <c r="F197" s="2144">
        <v>0.05</v>
      </c>
    </row>
    <row r="198" spans="1:6" ht="24.75" thickBot="1">
      <c r="A198" s="1552" t="s">
        <v>1887</v>
      </c>
      <c r="B198" s="1546" t="s">
        <v>2568</v>
      </c>
      <c r="C198" s="2156"/>
      <c r="D198" s="2156"/>
      <c r="E198" s="2156"/>
      <c r="F198" s="2144">
        <v>0.05</v>
      </c>
    </row>
    <row r="199" spans="1:6" ht="24.75" thickBot="1">
      <c r="A199" s="1552" t="s">
        <v>1887</v>
      </c>
      <c r="B199" s="1546" t="s">
        <v>2569</v>
      </c>
      <c r="C199" s="2156"/>
      <c r="D199" s="2156"/>
      <c r="E199" s="2156"/>
      <c r="F199" s="2144">
        <v>0.05</v>
      </c>
    </row>
    <row r="200" spans="1:6" ht="24.75" thickBot="1">
      <c r="A200" s="1552" t="s">
        <v>1887</v>
      </c>
      <c r="B200" s="1546" t="s">
        <v>2570</v>
      </c>
      <c r="C200" s="2156"/>
      <c r="D200" s="2156"/>
      <c r="E200" s="2156"/>
      <c r="F200" s="2144">
        <v>0.05</v>
      </c>
    </row>
    <row r="201" spans="1:6" ht="24.75" thickBot="1">
      <c r="A201" s="1552" t="s">
        <v>1887</v>
      </c>
      <c r="B201" s="1546" t="s">
        <v>2571</v>
      </c>
      <c r="C201" s="2156"/>
      <c r="D201" s="2156"/>
      <c r="E201" s="2156"/>
      <c r="F201" s="2144">
        <v>0.05</v>
      </c>
    </row>
    <row r="202" spans="1:6" ht="24.75" thickBot="1">
      <c r="A202" s="1552" t="s">
        <v>1887</v>
      </c>
      <c r="B202" s="1546" t="s">
        <v>2572</v>
      </c>
      <c r="C202" s="2156"/>
      <c r="D202" s="2156"/>
      <c r="E202" s="2156"/>
      <c r="F202" s="2144">
        <v>0.05</v>
      </c>
    </row>
    <row r="203" spans="1:6" ht="24.75" thickBot="1">
      <c r="A203" s="1552" t="s">
        <v>1887</v>
      </c>
      <c r="B203" s="1546" t="s">
        <v>2573</v>
      </c>
      <c r="C203" s="2156"/>
      <c r="D203" s="2156"/>
      <c r="E203" s="2156"/>
      <c r="F203" s="2144">
        <v>0.05</v>
      </c>
    </row>
    <row r="204" spans="1:6" ht="14.25" thickBot="1">
      <c r="A204" s="1552" t="s">
        <v>1887</v>
      </c>
      <c r="B204" s="1546" t="s">
        <v>2574</v>
      </c>
      <c r="C204" s="2156"/>
      <c r="D204" s="2156"/>
      <c r="E204" s="2156"/>
      <c r="F204" s="2144">
        <v>0.05</v>
      </c>
    </row>
    <row r="205" spans="1:6" ht="14.25" thickBot="1">
      <c r="A205" s="1562" t="s">
        <v>1887</v>
      </c>
      <c r="B205" s="1558" t="s">
        <v>2575</v>
      </c>
      <c r="C205" s="2153"/>
      <c r="D205" s="2153"/>
      <c r="E205" s="2153"/>
      <c r="F205" s="2146">
        <v>0.05</v>
      </c>
    </row>
    <row r="206" spans="1:6" ht="14.25" thickBot="1">
      <c r="A206" s="1552" t="s">
        <v>1889</v>
      </c>
      <c r="B206" s="1553" t="s">
        <v>2576</v>
      </c>
      <c r="C206" s="2141">
        <v>0.15</v>
      </c>
      <c r="D206" s="2141">
        <v>0.15</v>
      </c>
      <c r="E206" s="2141">
        <v>0.15</v>
      </c>
      <c r="F206" s="2142">
        <v>0.15</v>
      </c>
    </row>
    <row r="207" spans="1:6" ht="14.25" thickBot="1">
      <c r="A207" s="1552" t="s">
        <v>1889</v>
      </c>
      <c r="B207" s="1546" t="s">
        <v>1555</v>
      </c>
      <c r="C207" s="2143">
        <v>0.15</v>
      </c>
      <c r="D207" s="2143">
        <v>0.15</v>
      </c>
      <c r="E207" s="2143">
        <v>0.15</v>
      </c>
      <c r="F207" s="2144">
        <v>0.14399999999999999</v>
      </c>
    </row>
    <row r="208" spans="1:6" ht="14.25" thickBot="1">
      <c r="A208" s="1552" t="s">
        <v>1889</v>
      </c>
      <c r="B208" s="1546" t="s">
        <v>1568</v>
      </c>
      <c r="C208" s="2143">
        <v>0.15</v>
      </c>
      <c r="D208" s="2143">
        <v>0.15</v>
      </c>
      <c r="E208" s="2143">
        <v>0.15</v>
      </c>
      <c r="F208" s="2144">
        <v>0.15</v>
      </c>
    </row>
    <row r="209" spans="1:6" ht="14.25" thickBot="1">
      <c r="A209" s="1552" t="s">
        <v>1889</v>
      </c>
      <c r="B209" s="1546" t="s">
        <v>1581</v>
      </c>
      <c r="C209" s="2143">
        <v>0.13700000000000001</v>
      </c>
      <c r="D209" s="2143">
        <v>0.13700000000000001</v>
      </c>
      <c r="E209" s="2143">
        <v>0.14000000000000001</v>
      </c>
      <c r="F209" s="2144">
        <v>0.11700000000000001</v>
      </c>
    </row>
    <row r="210" spans="1:6" ht="14.25" thickBot="1">
      <c r="A210" s="1552" t="s">
        <v>1889</v>
      </c>
      <c r="B210" s="1546" t="s">
        <v>2577</v>
      </c>
      <c r="C210" s="2143">
        <v>0.15</v>
      </c>
      <c r="D210" s="2143">
        <v>0.15</v>
      </c>
      <c r="E210" s="2143">
        <v>0.15</v>
      </c>
      <c r="F210" s="2144">
        <v>0.13800000000000001</v>
      </c>
    </row>
    <row r="211" spans="1:6" ht="14.25" thickBot="1">
      <c r="A211" s="1552" t="s">
        <v>1889</v>
      </c>
      <c r="B211" s="1546" t="s">
        <v>2578</v>
      </c>
      <c r="C211" s="2143">
        <v>0.13700000000000001</v>
      </c>
      <c r="D211" s="2143">
        <v>0.13500000000000001</v>
      </c>
      <c r="E211" s="2143">
        <v>0.13600000000000001</v>
      </c>
      <c r="F211" s="2144">
        <v>0.1</v>
      </c>
    </row>
    <row r="212" spans="1:6" ht="14.25" thickBot="1">
      <c r="A212" s="1552" t="s">
        <v>1889</v>
      </c>
      <c r="B212" s="1546" t="s">
        <v>2579</v>
      </c>
      <c r="C212" s="2143">
        <v>0.15</v>
      </c>
      <c r="D212" s="2143">
        <v>0.15</v>
      </c>
      <c r="E212" s="2143">
        <v>0.14799999999999999</v>
      </c>
      <c r="F212" s="2144">
        <v>0.13600000000000001</v>
      </c>
    </row>
    <row r="213" spans="1:6" ht="14.25" thickBot="1">
      <c r="A213" s="1552" t="s">
        <v>1889</v>
      </c>
      <c r="B213" s="1546" t="s">
        <v>1626</v>
      </c>
      <c r="C213" s="2143">
        <v>0.15</v>
      </c>
      <c r="D213" s="2143">
        <v>0.15</v>
      </c>
      <c r="E213" s="2143">
        <v>0.15</v>
      </c>
      <c r="F213" s="2144">
        <v>0.13800000000000001</v>
      </c>
    </row>
    <row r="214" spans="1:6" ht="14.25" thickBot="1">
      <c r="A214" s="1552" t="s">
        <v>1889</v>
      </c>
      <c r="B214" s="1546" t="s">
        <v>1638</v>
      </c>
      <c r="C214" s="2143">
        <v>9.0999999999999998E-2</v>
      </c>
      <c r="D214" s="2143">
        <v>0.09</v>
      </c>
      <c r="E214" s="2143">
        <v>9.1999999999999998E-2</v>
      </c>
      <c r="F214" s="2155"/>
    </row>
    <row r="215" spans="1:6" ht="14.25" thickBot="1">
      <c r="A215" s="1552" t="s">
        <v>1889</v>
      </c>
      <c r="B215" s="1546" t="s">
        <v>2580</v>
      </c>
      <c r="C215" s="2143">
        <v>0.15</v>
      </c>
      <c r="D215" s="2143">
        <v>0.15</v>
      </c>
      <c r="E215" s="2143">
        <v>0.15</v>
      </c>
      <c r="F215" s="2144">
        <v>0.15</v>
      </c>
    </row>
    <row r="216" spans="1:6" ht="14.25" thickBot="1">
      <c r="A216" s="1552" t="s">
        <v>1889</v>
      </c>
      <c r="B216" s="1546" t="s">
        <v>1658</v>
      </c>
      <c r="C216" s="2143">
        <v>0.14699999999999999</v>
      </c>
      <c r="D216" s="2143">
        <v>0.14699999999999999</v>
      </c>
      <c r="E216" s="2143">
        <v>0.15</v>
      </c>
      <c r="F216" s="2144">
        <v>0.14000000000000001</v>
      </c>
    </row>
    <row r="217" spans="1:6" ht="14.25" thickBot="1">
      <c r="A217" s="1552" t="s">
        <v>1889</v>
      </c>
      <c r="B217" s="1546" t="s">
        <v>1668</v>
      </c>
      <c r="C217" s="2143">
        <v>0.15</v>
      </c>
      <c r="D217" s="2143">
        <v>0.15</v>
      </c>
      <c r="E217" s="2143">
        <v>0.15</v>
      </c>
      <c r="F217" s="2144">
        <v>0.15</v>
      </c>
    </row>
    <row r="218" spans="1:6" ht="14.25" thickBot="1">
      <c r="A218" s="1552" t="s">
        <v>1889</v>
      </c>
      <c r="B218" s="1546" t="s">
        <v>2581</v>
      </c>
      <c r="C218" s="2143">
        <v>0.15</v>
      </c>
      <c r="D218" s="2143">
        <v>0.15</v>
      </c>
      <c r="E218" s="2143">
        <v>0.15</v>
      </c>
      <c r="F218" s="2144">
        <v>0.15</v>
      </c>
    </row>
    <row r="219" spans="1:6" ht="14.25" thickBot="1">
      <c r="A219" s="1552" t="s">
        <v>1889</v>
      </c>
      <c r="B219" s="1546" t="s">
        <v>1689</v>
      </c>
      <c r="C219" s="2143">
        <v>0.15</v>
      </c>
      <c r="D219" s="2143">
        <v>0.15</v>
      </c>
      <c r="E219" s="2143">
        <v>0.15</v>
      </c>
      <c r="F219" s="2144">
        <v>0.14799999999999999</v>
      </c>
    </row>
    <row r="220" spans="1:6" ht="14.25" thickBot="1">
      <c r="A220" s="1552" t="s">
        <v>1889</v>
      </c>
      <c r="B220" s="1546" t="s">
        <v>2582</v>
      </c>
      <c r="C220" s="2143">
        <v>0.15</v>
      </c>
      <c r="D220" s="2143">
        <v>0.15</v>
      </c>
      <c r="E220" s="2143">
        <v>0.15</v>
      </c>
      <c r="F220" s="2144">
        <v>0.15</v>
      </c>
    </row>
    <row r="221" spans="1:6" ht="14.25" thickBot="1">
      <c r="A221" s="1552" t="s">
        <v>1889</v>
      </c>
      <c r="B221" s="1546" t="s">
        <v>1710</v>
      </c>
      <c r="C221" s="2143"/>
      <c r="D221" s="2156"/>
      <c r="E221" s="2156"/>
      <c r="F221" s="2144">
        <v>0.14799999999999999</v>
      </c>
    </row>
    <row r="222" spans="1:6" ht="14.25" thickBot="1">
      <c r="A222" s="1552" t="s">
        <v>1889</v>
      </c>
      <c r="B222" s="1546" t="s">
        <v>1720</v>
      </c>
      <c r="C222" s="2143"/>
      <c r="D222" s="2156"/>
      <c r="E222" s="2156"/>
      <c r="F222" s="2144">
        <v>0.1</v>
      </c>
    </row>
    <row r="223" spans="1:6" ht="14.25" thickBot="1">
      <c r="A223" s="1552" t="s">
        <v>1889</v>
      </c>
      <c r="B223" s="1546" t="s">
        <v>1730</v>
      </c>
      <c r="C223" s="2143"/>
      <c r="D223" s="2156"/>
      <c r="E223" s="2156"/>
      <c r="F223" s="2144">
        <v>0.15</v>
      </c>
    </row>
    <row r="224" spans="1:6" ht="14.25" thickBot="1">
      <c r="A224" s="1552" t="s">
        <v>1889</v>
      </c>
      <c r="B224" s="1546" t="s">
        <v>1740</v>
      </c>
      <c r="C224" s="2143"/>
      <c r="D224" s="2156"/>
      <c r="E224" s="2156"/>
      <c r="F224" s="2144">
        <v>0.15</v>
      </c>
    </row>
    <row r="225" spans="1:6" ht="14.25" thickBot="1">
      <c r="A225" s="1552" t="s">
        <v>1889</v>
      </c>
      <c r="B225" s="1546" t="s">
        <v>2583</v>
      </c>
      <c r="C225" s="2143">
        <v>0.15</v>
      </c>
      <c r="D225" s="2143">
        <v>0.15</v>
      </c>
      <c r="E225" s="2143">
        <v>0.15</v>
      </c>
      <c r="F225" s="2144">
        <v>0.15</v>
      </c>
    </row>
    <row r="226" spans="1:6" ht="14.25" thickBot="1">
      <c r="A226" s="1552" t="s">
        <v>1889</v>
      </c>
      <c r="B226" s="1546" t="s">
        <v>1758</v>
      </c>
      <c r="C226" s="2143">
        <v>0.15</v>
      </c>
      <c r="D226" s="2143">
        <v>0.15</v>
      </c>
      <c r="E226" s="2143">
        <v>0.15</v>
      </c>
      <c r="F226" s="2144">
        <v>0.14799999999999999</v>
      </c>
    </row>
    <row r="227" spans="1:6" ht="14.25" thickBot="1">
      <c r="A227" s="1552" t="s">
        <v>1889</v>
      </c>
      <c r="B227" s="1546" t="s">
        <v>2584</v>
      </c>
      <c r="C227" s="2143">
        <v>0.15</v>
      </c>
      <c r="D227" s="2143">
        <v>0.15</v>
      </c>
      <c r="E227" s="2143">
        <v>0.15</v>
      </c>
      <c r="F227" s="2144">
        <v>0.15</v>
      </c>
    </row>
    <row r="228" spans="1:6" ht="14.25" thickBot="1">
      <c r="A228" s="1552" t="s">
        <v>1889</v>
      </c>
      <c r="B228" s="1546" t="s">
        <v>1773</v>
      </c>
      <c r="C228" s="2143">
        <v>0.15</v>
      </c>
      <c r="D228" s="2143">
        <v>0.15</v>
      </c>
      <c r="E228" s="2143">
        <v>0.15</v>
      </c>
      <c r="F228" s="2144">
        <v>0.15</v>
      </c>
    </row>
    <row r="229" spans="1:6" ht="14.25" thickBot="1">
      <c r="A229" s="1552" t="s">
        <v>1889</v>
      </c>
      <c r="B229" s="1546" t="s">
        <v>1780</v>
      </c>
      <c r="C229" s="2143">
        <v>0.15</v>
      </c>
      <c r="D229" s="2143">
        <v>0.15</v>
      </c>
      <c r="E229" s="2143">
        <v>0.15</v>
      </c>
      <c r="F229" s="2155"/>
    </row>
    <row r="230" spans="1:6" ht="14.25" thickBot="1">
      <c r="A230" s="1552" t="s">
        <v>1889</v>
      </c>
      <c r="B230" s="1546" t="s">
        <v>1787</v>
      </c>
      <c r="C230" s="2143">
        <v>0.14499999999999999</v>
      </c>
      <c r="D230" s="2143">
        <v>0.14499999999999999</v>
      </c>
      <c r="E230" s="2143">
        <v>0.14399999999999999</v>
      </c>
      <c r="F230" s="2155"/>
    </row>
    <row r="231" spans="1:6" ht="14.25" thickBot="1">
      <c r="A231" s="1552" t="s">
        <v>1889</v>
      </c>
      <c r="B231" s="1546" t="s">
        <v>2585</v>
      </c>
      <c r="C231" s="2143">
        <v>0.128</v>
      </c>
      <c r="D231" s="2143">
        <v>0.125</v>
      </c>
      <c r="E231" s="2143">
        <v>0.13200000000000001</v>
      </c>
      <c r="F231" s="2155"/>
    </row>
    <row r="232" spans="1:6" ht="14.25" thickBot="1">
      <c r="A232" s="1552" t="s">
        <v>1889</v>
      </c>
      <c r="B232" s="1546" t="s">
        <v>2586</v>
      </c>
      <c r="C232" s="2143">
        <v>0.14499999999999999</v>
      </c>
      <c r="D232" s="2143">
        <v>0.14399999999999999</v>
      </c>
      <c r="E232" s="2143">
        <v>0.14599999999999999</v>
      </c>
      <c r="F232" s="2144">
        <v>0.13800000000000001</v>
      </c>
    </row>
    <row r="233" spans="1:6" ht="14.25" thickBot="1">
      <c r="A233" s="1552" t="s">
        <v>1889</v>
      </c>
      <c r="B233" s="1546" t="s">
        <v>2587</v>
      </c>
      <c r="C233" s="2143">
        <v>0.14499999999999999</v>
      </c>
      <c r="D233" s="2143">
        <v>0.14299999999999999</v>
      </c>
      <c r="E233" s="2143">
        <v>0.14199999999999999</v>
      </c>
      <c r="F233" s="2155"/>
    </row>
    <row r="234" spans="1:6" ht="14.25" thickBot="1">
      <c r="A234" s="1552" t="s">
        <v>1889</v>
      </c>
      <c r="B234" s="1546" t="s">
        <v>2588</v>
      </c>
      <c r="C234" s="2143">
        <v>0.14000000000000001</v>
      </c>
      <c r="D234" s="2143">
        <v>0.14000000000000001</v>
      </c>
      <c r="E234" s="2143">
        <v>0.14399999999999999</v>
      </c>
      <c r="F234" s="2155"/>
    </row>
    <row r="235" spans="1:6" ht="14.25" thickBot="1">
      <c r="A235" s="1552" t="s">
        <v>1889</v>
      </c>
      <c r="B235" s="1546" t="s">
        <v>2589</v>
      </c>
      <c r="C235" s="2143">
        <v>0.14099999999999999</v>
      </c>
      <c r="D235" s="2143">
        <v>0.14199999999999999</v>
      </c>
      <c r="E235" s="2143">
        <v>0.14499999999999999</v>
      </c>
      <c r="F235" s="2144">
        <v>0.15</v>
      </c>
    </row>
    <row r="236" spans="1:6" ht="14.25" thickBot="1">
      <c r="A236" s="1552" t="s">
        <v>1889</v>
      </c>
      <c r="B236" s="1546" t="s">
        <v>1822</v>
      </c>
      <c r="C236" s="2156"/>
      <c r="D236" s="2156"/>
      <c r="E236" s="2156"/>
      <c r="F236" s="2144">
        <v>0.14299999999999999</v>
      </c>
    </row>
    <row r="237" spans="1:6" ht="24.75" thickBot="1">
      <c r="A237" s="1552" t="s">
        <v>1889</v>
      </c>
      <c r="B237" s="1546" t="s">
        <v>2590</v>
      </c>
      <c r="C237" s="2156"/>
      <c r="D237" s="2156"/>
      <c r="E237" s="2156"/>
      <c r="F237" s="2144">
        <v>0.05</v>
      </c>
    </row>
    <row r="238" spans="1:6" ht="24.75" thickBot="1">
      <c r="A238" s="1552" t="s">
        <v>1889</v>
      </c>
      <c r="B238" s="1546" t="s">
        <v>2591</v>
      </c>
      <c r="C238" s="2156"/>
      <c r="D238" s="2156"/>
      <c r="E238" s="2156"/>
      <c r="F238" s="2144">
        <v>0.05</v>
      </c>
    </row>
    <row r="239" spans="1:6" ht="24.75" thickBot="1">
      <c r="A239" s="1552" t="s">
        <v>1889</v>
      </c>
      <c r="B239" s="1546" t="s">
        <v>2592</v>
      </c>
      <c r="C239" s="2156"/>
      <c r="D239" s="2156"/>
      <c r="E239" s="2156"/>
      <c r="F239" s="2144">
        <v>0.05</v>
      </c>
    </row>
    <row r="240" spans="1:6" ht="24.75" thickBot="1">
      <c r="A240" s="1552" t="s">
        <v>1889</v>
      </c>
      <c r="B240" s="1546" t="s">
        <v>2593</v>
      </c>
      <c r="C240" s="2156"/>
      <c r="D240" s="2156"/>
      <c r="E240" s="2156"/>
      <c r="F240" s="2144">
        <v>0.05</v>
      </c>
    </row>
    <row r="241" spans="1:6" ht="24.75" thickBot="1">
      <c r="A241" s="1552" t="s">
        <v>1889</v>
      </c>
      <c r="B241" s="1546" t="s">
        <v>2594</v>
      </c>
      <c r="C241" s="2156"/>
      <c r="D241" s="2156"/>
      <c r="E241" s="2156"/>
      <c r="F241" s="2144">
        <v>0.05</v>
      </c>
    </row>
    <row r="242" spans="1:6" ht="24.75" thickBot="1">
      <c r="A242" s="1552" t="s">
        <v>1889</v>
      </c>
      <c r="B242" s="1546" t="s">
        <v>2595</v>
      </c>
      <c r="C242" s="2156"/>
      <c r="D242" s="2156"/>
      <c r="E242" s="2156"/>
      <c r="F242" s="2144">
        <v>0.05</v>
      </c>
    </row>
    <row r="243" spans="1:6" ht="24.75" thickBot="1">
      <c r="A243" s="1552" t="s">
        <v>1889</v>
      </c>
      <c r="B243" s="1546" t="s">
        <v>2596</v>
      </c>
      <c r="C243" s="2156"/>
      <c r="D243" s="2156"/>
      <c r="E243" s="2156"/>
      <c r="F243" s="2144">
        <v>0.05</v>
      </c>
    </row>
    <row r="244" spans="1:6" ht="24.75" thickBot="1">
      <c r="A244" s="1562" t="s">
        <v>1889</v>
      </c>
      <c r="B244" s="1558" t="s">
        <v>2597</v>
      </c>
      <c r="C244" s="2153"/>
      <c r="D244" s="2153"/>
      <c r="E244" s="2153"/>
      <c r="F244" s="2146">
        <v>0.05</v>
      </c>
    </row>
    <row r="245" spans="1:6" ht="14.25" thickBot="1">
      <c r="A245" s="1552" t="s">
        <v>1891</v>
      </c>
      <c r="B245" s="1553" t="s">
        <v>2598</v>
      </c>
      <c r="C245" s="2141">
        <v>0.15</v>
      </c>
      <c r="D245" s="2141">
        <v>0.15</v>
      </c>
      <c r="E245" s="2141">
        <v>0.15</v>
      </c>
      <c r="F245" s="2142">
        <v>0.14299999999999999</v>
      </c>
    </row>
    <row r="246" spans="1:6" ht="14.25" thickBot="1">
      <c r="A246" s="1552" t="s">
        <v>1891</v>
      </c>
      <c r="B246" s="1546" t="s">
        <v>1556</v>
      </c>
      <c r="C246" s="2143">
        <v>0.15</v>
      </c>
      <c r="D246" s="2143">
        <v>0.15</v>
      </c>
      <c r="E246" s="2143">
        <v>0.15</v>
      </c>
      <c r="F246" s="2144">
        <v>0.114</v>
      </c>
    </row>
    <row r="247" spans="1:6" ht="14.25" thickBot="1">
      <c r="A247" s="1552" t="s">
        <v>1891</v>
      </c>
      <c r="B247" s="1546" t="s">
        <v>2599</v>
      </c>
      <c r="C247" s="2143">
        <v>0.15</v>
      </c>
      <c r="D247" s="2143">
        <v>0.15</v>
      </c>
      <c r="E247" s="2143">
        <v>0.15</v>
      </c>
      <c r="F247" s="2144">
        <v>0.15</v>
      </c>
    </row>
    <row r="248" spans="1:6" ht="14.25" thickBot="1">
      <c r="A248" s="1552" t="s">
        <v>1891</v>
      </c>
      <c r="B248" s="1546" t="s">
        <v>2600</v>
      </c>
      <c r="C248" s="2143">
        <v>0.15</v>
      </c>
      <c r="D248" s="2143">
        <v>0.15</v>
      </c>
      <c r="E248" s="2143">
        <v>0.15</v>
      </c>
      <c r="F248" s="2144">
        <v>0.14000000000000001</v>
      </c>
    </row>
    <row r="249" spans="1:6" ht="14.25" thickBot="1">
      <c r="A249" s="1552" t="s">
        <v>1891</v>
      </c>
      <c r="B249" s="1546" t="s">
        <v>2601</v>
      </c>
      <c r="C249" s="2143">
        <v>0.15</v>
      </c>
      <c r="D249" s="2143">
        <v>0.14899999999999999</v>
      </c>
      <c r="E249" s="2143">
        <v>0.15</v>
      </c>
      <c r="F249" s="2144">
        <v>0.1</v>
      </c>
    </row>
    <row r="250" spans="1:6" ht="14.25" thickBot="1">
      <c r="A250" s="1552" t="s">
        <v>1891</v>
      </c>
      <c r="B250" s="1546" t="s">
        <v>2602</v>
      </c>
      <c r="C250" s="2143">
        <v>0.15</v>
      </c>
      <c r="D250" s="2143">
        <v>0.15</v>
      </c>
      <c r="E250" s="2143">
        <v>0.15</v>
      </c>
      <c r="F250" s="2144">
        <v>0.14399999999999999</v>
      </c>
    </row>
    <row r="251" spans="1:6" ht="14.25" thickBot="1">
      <c r="A251" s="1552" t="s">
        <v>1891</v>
      </c>
      <c r="B251" s="1546" t="s">
        <v>1616</v>
      </c>
      <c r="C251" s="2143">
        <v>0.15</v>
      </c>
      <c r="D251" s="2143">
        <v>0.15</v>
      </c>
      <c r="E251" s="2143">
        <v>0.15</v>
      </c>
      <c r="F251" s="2144">
        <v>0.14299999999999999</v>
      </c>
    </row>
    <row r="252" spans="1:6" ht="14.25" thickBot="1">
      <c r="A252" s="1552" t="s">
        <v>1891</v>
      </c>
      <c r="B252" s="1546" t="s">
        <v>1627</v>
      </c>
      <c r="C252" s="2143">
        <v>0.15</v>
      </c>
      <c r="D252" s="2143">
        <v>0.15</v>
      </c>
      <c r="E252" s="2143">
        <v>0.15</v>
      </c>
      <c r="F252" s="2144">
        <v>0.1</v>
      </c>
    </row>
    <row r="253" spans="1:6" ht="14.25" thickBot="1">
      <c r="A253" s="1552" t="s">
        <v>1891</v>
      </c>
      <c r="B253" s="1546" t="s">
        <v>1639</v>
      </c>
      <c r="C253" s="2143">
        <v>0.15</v>
      </c>
      <c r="D253" s="2143">
        <v>0.15</v>
      </c>
      <c r="E253" s="2143">
        <v>0.15</v>
      </c>
      <c r="F253" s="2144">
        <v>0.1</v>
      </c>
    </row>
    <row r="254" spans="1:6" ht="14.25" thickBot="1">
      <c r="A254" s="1552" t="s">
        <v>1891</v>
      </c>
      <c r="B254" s="1546" t="s">
        <v>1649</v>
      </c>
      <c r="C254" s="2156"/>
      <c r="D254" s="2156"/>
      <c r="E254" s="2156"/>
      <c r="F254" s="2144">
        <v>0.15</v>
      </c>
    </row>
    <row r="255" spans="1:6" ht="14.25" thickBot="1">
      <c r="A255" s="1552" t="s">
        <v>1891</v>
      </c>
      <c r="B255" s="1546" t="s">
        <v>1659</v>
      </c>
      <c r="C255" s="2156"/>
      <c r="D255" s="2156"/>
      <c r="E255" s="2156"/>
      <c r="F255" s="2144">
        <v>0.14299999999999999</v>
      </c>
    </row>
    <row r="256" spans="1:6" ht="14.25" thickBot="1">
      <c r="A256" s="1552" t="s">
        <v>1891</v>
      </c>
      <c r="B256" s="1546" t="s">
        <v>2603</v>
      </c>
      <c r="C256" s="2143">
        <v>0.14599999999999999</v>
      </c>
      <c r="D256" s="2143">
        <v>0.14699999999999999</v>
      </c>
      <c r="E256" s="2143">
        <v>0.15</v>
      </c>
      <c r="F256" s="2144">
        <v>0.13200000000000001</v>
      </c>
    </row>
    <row r="257" spans="1:6" ht="14.25" thickBot="1">
      <c r="A257" s="1552" t="s">
        <v>1891</v>
      </c>
      <c r="B257" s="1546" t="s">
        <v>1679</v>
      </c>
      <c r="C257" s="2143">
        <v>0.15</v>
      </c>
      <c r="D257" s="2143">
        <v>0.15</v>
      </c>
      <c r="E257" s="2143">
        <v>0.15</v>
      </c>
      <c r="F257" s="2144">
        <v>0.13900000000000001</v>
      </c>
    </row>
    <row r="258" spans="1:6" ht="14.25" thickBot="1">
      <c r="A258" s="1552" t="s">
        <v>1891</v>
      </c>
      <c r="B258" s="1546" t="s">
        <v>1690</v>
      </c>
      <c r="C258" s="2143">
        <v>0.15</v>
      </c>
      <c r="D258" s="2143">
        <v>0.15</v>
      </c>
      <c r="E258" s="2143">
        <v>0.15</v>
      </c>
      <c r="F258" s="2144">
        <v>0.13</v>
      </c>
    </row>
    <row r="259" spans="1:6" ht="14.25" thickBot="1">
      <c r="A259" s="1552" t="s">
        <v>1891</v>
      </c>
      <c r="B259" s="1546" t="s">
        <v>2604</v>
      </c>
      <c r="C259" s="2143">
        <v>0.14799999999999999</v>
      </c>
      <c r="D259" s="2143">
        <v>0.14899999999999999</v>
      </c>
      <c r="E259" s="2143">
        <v>0.15</v>
      </c>
      <c r="F259" s="2144">
        <v>0.13700000000000001</v>
      </c>
    </row>
    <row r="260" spans="1:6" ht="14.25" thickBot="1">
      <c r="A260" s="1552" t="s">
        <v>1891</v>
      </c>
      <c r="B260" s="1546" t="s">
        <v>1711</v>
      </c>
      <c r="C260" s="2143">
        <v>0.15</v>
      </c>
      <c r="D260" s="2143">
        <v>0.15</v>
      </c>
      <c r="E260" s="2143">
        <v>0.15</v>
      </c>
      <c r="F260" s="2144">
        <v>0.14199999999999999</v>
      </c>
    </row>
    <row r="261" spans="1:6" ht="14.25" thickBot="1">
      <c r="A261" s="1552" t="s">
        <v>1891</v>
      </c>
      <c r="B261" s="1546" t="s">
        <v>1721</v>
      </c>
      <c r="C261" s="2143">
        <v>0.15</v>
      </c>
      <c r="D261" s="2143">
        <v>0.15</v>
      </c>
      <c r="E261" s="2143">
        <v>0.14899999999999999</v>
      </c>
      <c r="F261" s="2144">
        <v>0.14799999999999999</v>
      </c>
    </row>
    <row r="262" spans="1:6" ht="14.25" thickBot="1">
      <c r="A262" s="1552" t="s">
        <v>1891</v>
      </c>
      <c r="B262" s="1546" t="s">
        <v>1731</v>
      </c>
      <c r="C262" s="2143">
        <v>0.15</v>
      </c>
      <c r="D262" s="2143">
        <v>0.15</v>
      </c>
      <c r="E262" s="2143">
        <v>0.15</v>
      </c>
      <c r="F262" s="2155"/>
    </row>
    <row r="263" spans="1:6" ht="14.25" thickBot="1">
      <c r="A263" s="1552" t="s">
        <v>1891</v>
      </c>
      <c r="B263" s="1546" t="s">
        <v>2605</v>
      </c>
      <c r="C263" s="2143">
        <v>0.14899999999999999</v>
      </c>
      <c r="D263" s="2143">
        <v>0.14899999999999999</v>
      </c>
      <c r="E263" s="2143">
        <v>0.15</v>
      </c>
      <c r="F263" s="2144">
        <v>0.13</v>
      </c>
    </row>
    <row r="264" spans="1:6" ht="14.25" thickBot="1">
      <c r="A264" s="1552" t="s">
        <v>1891</v>
      </c>
      <c r="B264" s="1546" t="s">
        <v>1750</v>
      </c>
      <c r="C264" s="2143">
        <v>0.14799999999999999</v>
      </c>
      <c r="D264" s="2143">
        <v>0.14699999999999999</v>
      </c>
      <c r="E264" s="2143">
        <v>0.15</v>
      </c>
      <c r="F264" s="2144">
        <v>7.8E-2</v>
      </c>
    </row>
    <row r="265" spans="1:6" ht="14.25" thickBot="1">
      <c r="A265" s="1552" t="s">
        <v>1891</v>
      </c>
      <c r="B265" s="1546" t="s">
        <v>1759</v>
      </c>
      <c r="C265" s="2143">
        <v>0.15</v>
      </c>
      <c r="D265" s="2143">
        <v>0.15</v>
      </c>
      <c r="E265" s="2143">
        <v>0.15</v>
      </c>
      <c r="F265" s="2144">
        <v>7.3999999999999996E-2</v>
      </c>
    </row>
    <row r="266" spans="1:6" ht="14.25" thickBot="1">
      <c r="A266" s="1552" t="s">
        <v>1891</v>
      </c>
      <c r="B266" s="1546" t="s">
        <v>1767</v>
      </c>
      <c r="C266" s="2143">
        <v>0.14699999999999999</v>
      </c>
      <c r="D266" s="2143">
        <v>0.14699999999999999</v>
      </c>
      <c r="E266" s="2143">
        <v>0.15</v>
      </c>
      <c r="F266" s="2144">
        <v>0.14299999999999999</v>
      </c>
    </row>
    <row r="267" spans="1:6" ht="14.25" thickBot="1">
      <c r="A267" s="1552" t="s">
        <v>1891</v>
      </c>
      <c r="B267" s="1546" t="s">
        <v>1774</v>
      </c>
      <c r="C267" s="2143">
        <v>0.14199999999999999</v>
      </c>
      <c r="D267" s="2143">
        <v>0.14299999999999999</v>
      </c>
      <c r="E267" s="2143">
        <v>0.15</v>
      </c>
      <c r="F267" s="2155"/>
    </row>
    <row r="268" spans="1:6" ht="14.25" thickBot="1">
      <c r="A268" s="1552" t="s">
        <v>1891</v>
      </c>
      <c r="B268" s="1546" t="s">
        <v>2606</v>
      </c>
      <c r="C268" s="2143">
        <v>0.15</v>
      </c>
      <c r="D268" s="2143">
        <v>0.15</v>
      </c>
      <c r="E268" s="2143">
        <v>0.15</v>
      </c>
      <c r="F268" s="2144">
        <v>0.13</v>
      </c>
    </row>
    <row r="269" spans="1:6" ht="14.25" thickBot="1">
      <c r="A269" s="1552" t="s">
        <v>1891</v>
      </c>
      <c r="B269" s="1546" t="s">
        <v>1788</v>
      </c>
      <c r="C269" s="2143">
        <v>0.15</v>
      </c>
      <c r="D269" s="2143">
        <v>0.15</v>
      </c>
      <c r="E269" s="2143">
        <v>0.15</v>
      </c>
      <c r="F269" s="2144">
        <v>0.14299999999999999</v>
      </c>
    </row>
    <row r="270" spans="1:6" ht="14.25" thickBot="1">
      <c r="A270" s="1552" t="s">
        <v>1891</v>
      </c>
      <c r="B270" s="1546" t="s">
        <v>1795</v>
      </c>
      <c r="C270" s="2143">
        <v>0.14499999999999999</v>
      </c>
      <c r="D270" s="2143">
        <v>0.14499999999999999</v>
      </c>
      <c r="E270" s="2143">
        <v>0.15</v>
      </c>
      <c r="F270" s="2144">
        <v>0.14699999999999999</v>
      </c>
    </row>
    <row r="271" spans="1:6" ht="14.25" thickBot="1">
      <c r="A271" s="1552" t="s">
        <v>1891</v>
      </c>
      <c r="B271" s="1546" t="s">
        <v>1802</v>
      </c>
      <c r="C271" s="2143">
        <v>0.15</v>
      </c>
      <c r="D271" s="2143">
        <v>0.15</v>
      </c>
      <c r="E271" s="2143">
        <v>0.15</v>
      </c>
      <c r="F271" s="2144">
        <v>0.13800000000000001</v>
      </c>
    </row>
    <row r="272" spans="1:6" ht="14.25" thickBot="1">
      <c r="A272" s="1552" t="s">
        <v>1891</v>
      </c>
      <c r="B272" s="1546" t="s">
        <v>1809</v>
      </c>
      <c r="C272" s="2156"/>
      <c r="D272" s="2156"/>
      <c r="E272" s="2156"/>
      <c r="F272" s="2144">
        <v>0.14000000000000001</v>
      </c>
    </row>
    <row r="273" spans="1:6" ht="14.25" thickBot="1">
      <c r="A273" s="1552" t="s">
        <v>1891</v>
      </c>
      <c r="B273" s="1546" t="s">
        <v>2607</v>
      </c>
      <c r="C273" s="2143">
        <v>0.14199999999999999</v>
      </c>
      <c r="D273" s="2143">
        <v>0.14299999999999999</v>
      </c>
      <c r="E273" s="2143">
        <v>0.15</v>
      </c>
      <c r="F273" s="2144">
        <v>0.1</v>
      </c>
    </row>
    <row r="274" spans="1:6" ht="14.25" thickBot="1">
      <c r="A274" s="1552" t="s">
        <v>1891</v>
      </c>
      <c r="B274" s="1546" t="s">
        <v>2608</v>
      </c>
      <c r="C274" s="2143">
        <v>0.14799999999999999</v>
      </c>
      <c r="D274" s="2143">
        <v>0.14799999999999999</v>
      </c>
      <c r="E274" s="2143">
        <v>0.15</v>
      </c>
      <c r="F274" s="2144">
        <v>6.7000000000000004E-2</v>
      </c>
    </row>
    <row r="275" spans="1:6" ht="14.25" thickBot="1">
      <c r="A275" s="1552" t="s">
        <v>1891</v>
      </c>
      <c r="B275" s="1546" t="s">
        <v>2609</v>
      </c>
      <c r="C275" s="2143">
        <v>0.15</v>
      </c>
      <c r="D275" s="2143">
        <v>0.15</v>
      </c>
      <c r="E275" s="2143">
        <v>0.15</v>
      </c>
      <c r="F275" s="2144">
        <v>0.15</v>
      </c>
    </row>
    <row r="276" spans="1:6" ht="14.25" thickBot="1">
      <c r="A276" s="1552" t="s">
        <v>1891</v>
      </c>
      <c r="B276" s="1546" t="s">
        <v>2610</v>
      </c>
      <c r="C276" s="2143">
        <v>0.14499999999999999</v>
      </c>
      <c r="D276" s="2143">
        <v>0.14299999999999999</v>
      </c>
      <c r="E276" s="2143">
        <v>0.15</v>
      </c>
      <c r="F276" s="2144">
        <v>5.8999999999999997E-2</v>
      </c>
    </row>
    <row r="277" spans="1:6" ht="14.25" thickBot="1">
      <c r="A277" s="1552" t="s">
        <v>1891</v>
      </c>
      <c r="B277" s="1546" t="s">
        <v>2611</v>
      </c>
      <c r="C277" s="2143">
        <v>0.15</v>
      </c>
      <c r="D277" s="2143">
        <v>0.15</v>
      </c>
      <c r="E277" s="2143">
        <v>0.15</v>
      </c>
      <c r="F277" s="2144">
        <v>0.121</v>
      </c>
    </row>
    <row r="278" spans="1:6" ht="14.25" thickBot="1">
      <c r="A278" s="1552" t="s">
        <v>1891</v>
      </c>
      <c r="B278" s="1546" t="s">
        <v>2612</v>
      </c>
      <c r="C278" s="2143">
        <v>0.15</v>
      </c>
      <c r="D278" s="2143">
        <v>0.15</v>
      </c>
      <c r="E278" s="2143">
        <v>0.15</v>
      </c>
      <c r="F278" s="2144">
        <v>0.13800000000000001</v>
      </c>
    </row>
    <row r="279" spans="1:6" ht="24.75" thickBot="1">
      <c r="A279" s="1552" t="s">
        <v>1891</v>
      </c>
      <c r="B279" s="1546" t="s">
        <v>2613</v>
      </c>
      <c r="C279" s="2156"/>
      <c r="D279" s="2156"/>
      <c r="E279" s="2156"/>
      <c r="F279" s="2144">
        <v>0.05</v>
      </c>
    </row>
    <row r="280" spans="1:6" ht="24.75" thickBot="1">
      <c r="A280" s="1552" t="s">
        <v>1891</v>
      </c>
      <c r="B280" s="1546" t="s">
        <v>2614</v>
      </c>
      <c r="C280" s="2156"/>
      <c r="D280" s="2156"/>
      <c r="E280" s="2156"/>
      <c r="F280" s="2144">
        <v>0.05</v>
      </c>
    </row>
    <row r="281" spans="1:6" ht="24.75" thickBot="1">
      <c r="A281" s="1552" t="s">
        <v>1891</v>
      </c>
      <c r="B281" s="1546" t="s">
        <v>2615</v>
      </c>
      <c r="C281" s="2156"/>
      <c r="D281" s="2156"/>
      <c r="E281" s="2156"/>
      <c r="F281" s="2144">
        <v>0.05</v>
      </c>
    </row>
    <row r="282" spans="1:6" ht="24.75" thickBot="1">
      <c r="A282" s="1552" t="s">
        <v>1891</v>
      </c>
      <c r="B282" s="1546" t="s">
        <v>2616</v>
      </c>
      <c r="C282" s="2156"/>
      <c r="D282" s="2156"/>
      <c r="E282" s="2156"/>
      <c r="F282" s="2144">
        <v>0.05</v>
      </c>
    </row>
    <row r="283" spans="1:6" ht="24.75" thickBot="1">
      <c r="A283" s="1552" t="s">
        <v>1891</v>
      </c>
      <c r="B283" s="1546" t="s">
        <v>2617</v>
      </c>
      <c r="C283" s="2156"/>
      <c r="D283" s="2156"/>
      <c r="E283" s="2156"/>
      <c r="F283" s="2144">
        <v>0.05</v>
      </c>
    </row>
    <row r="284" spans="1:6" ht="24.75" thickBot="1">
      <c r="A284" s="1552" t="s">
        <v>1891</v>
      </c>
      <c r="B284" s="1546" t="s">
        <v>2618</v>
      </c>
      <c r="C284" s="2156"/>
      <c r="D284" s="2156"/>
      <c r="E284" s="2156"/>
      <c r="F284" s="2144">
        <v>0.05</v>
      </c>
    </row>
    <row r="285" spans="1:6" ht="24.75" thickBot="1">
      <c r="A285" s="1552" t="s">
        <v>1891</v>
      </c>
      <c r="B285" s="1546" t="s">
        <v>2619</v>
      </c>
      <c r="C285" s="2156"/>
      <c r="D285" s="2156"/>
      <c r="E285" s="2156"/>
      <c r="F285" s="2144">
        <v>0.05</v>
      </c>
    </row>
    <row r="286" spans="1:6" ht="24.75" thickBot="1">
      <c r="A286" s="1552" t="s">
        <v>1891</v>
      </c>
      <c r="B286" s="1546" t="s">
        <v>2620</v>
      </c>
      <c r="C286" s="2156"/>
      <c r="D286" s="2156"/>
      <c r="E286" s="2156"/>
      <c r="F286" s="2144">
        <v>0.05</v>
      </c>
    </row>
    <row r="287" spans="1:6" ht="24.75" thickBot="1">
      <c r="A287" s="1552" t="s">
        <v>1891</v>
      </c>
      <c r="B287" s="1546" t="s">
        <v>2621</v>
      </c>
      <c r="C287" s="2156"/>
      <c r="D287" s="2156"/>
      <c r="E287" s="2156"/>
      <c r="F287" s="2144">
        <v>0.05</v>
      </c>
    </row>
    <row r="288" spans="1:6" ht="24.75" thickBot="1">
      <c r="A288" s="1552" t="s">
        <v>1891</v>
      </c>
      <c r="B288" s="1546" t="s">
        <v>2622</v>
      </c>
      <c r="C288" s="2156"/>
      <c r="D288" s="2156"/>
      <c r="E288" s="2156"/>
      <c r="F288" s="2144">
        <v>0.05</v>
      </c>
    </row>
    <row r="289" spans="1:6" ht="24.75" thickBot="1">
      <c r="A289" s="1562" t="s">
        <v>1891</v>
      </c>
      <c r="B289" s="1558" t="s">
        <v>2623</v>
      </c>
      <c r="C289" s="2153"/>
      <c r="D289" s="2153"/>
      <c r="E289" s="2153"/>
      <c r="F289" s="2146">
        <v>0.05</v>
      </c>
    </row>
    <row r="290" spans="1:6" ht="14.25" thickBot="1">
      <c r="A290" s="1552" t="s">
        <v>1895</v>
      </c>
      <c r="B290" s="1553" t="s">
        <v>2624</v>
      </c>
      <c r="C290" s="2141">
        <v>0.15</v>
      </c>
      <c r="D290" s="2141">
        <v>0.15</v>
      </c>
      <c r="E290" s="2141">
        <v>0.15</v>
      </c>
      <c r="F290" s="2158"/>
    </row>
    <row r="291" spans="1:6" ht="14.25" thickBot="1">
      <c r="A291" s="1552" t="s">
        <v>1895</v>
      </c>
      <c r="B291" s="1546" t="s">
        <v>1557</v>
      </c>
      <c r="C291" s="2143">
        <v>0.15</v>
      </c>
      <c r="D291" s="2143">
        <v>0.15</v>
      </c>
      <c r="E291" s="2143">
        <v>0.15</v>
      </c>
      <c r="F291" s="2155"/>
    </row>
    <row r="292" spans="1:6" ht="14.25" thickBot="1">
      <c r="A292" s="1552" t="s">
        <v>1895</v>
      </c>
      <c r="B292" s="1546" t="s">
        <v>2625</v>
      </c>
      <c r="C292" s="2143">
        <v>0.15</v>
      </c>
      <c r="D292" s="2143">
        <v>0.15</v>
      </c>
      <c r="E292" s="2143">
        <v>0.15</v>
      </c>
      <c r="F292" s="2144">
        <v>0.14699999999999999</v>
      </c>
    </row>
    <row r="293" spans="1:6" ht="14.25" thickBot="1">
      <c r="A293" s="1552" t="s">
        <v>1895</v>
      </c>
      <c r="B293" s="1546" t="s">
        <v>2626</v>
      </c>
      <c r="C293" s="2156"/>
      <c r="D293" s="2156"/>
      <c r="E293" s="2156"/>
      <c r="F293" s="2144">
        <v>0.1</v>
      </c>
    </row>
    <row r="294" spans="1:6" ht="14.25" thickBot="1">
      <c r="A294" s="1552" t="s">
        <v>1895</v>
      </c>
      <c r="B294" s="1546" t="s">
        <v>2627</v>
      </c>
      <c r="C294" s="2143">
        <v>0.15</v>
      </c>
      <c r="D294" s="2143">
        <v>0.15</v>
      </c>
      <c r="E294" s="2143">
        <v>0.15</v>
      </c>
      <c r="F294" s="2144">
        <v>0.15</v>
      </c>
    </row>
    <row r="295" spans="1:6" ht="14.25" thickBot="1">
      <c r="A295" s="1552" t="s">
        <v>1895</v>
      </c>
      <c r="B295" s="1546" t="s">
        <v>1595</v>
      </c>
      <c r="C295" s="2143">
        <v>0.15</v>
      </c>
      <c r="D295" s="2143">
        <v>0.15</v>
      </c>
      <c r="E295" s="2143">
        <v>0.15</v>
      </c>
      <c r="F295" s="2144">
        <v>0.15</v>
      </c>
    </row>
    <row r="296" spans="1:6" ht="14.25" thickBot="1">
      <c r="A296" s="1552" t="s">
        <v>1895</v>
      </c>
      <c r="B296" s="1546" t="s">
        <v>2628</v>
      </c>
      <c r="C296" s="2143">
        <v>0.15</v>
      </c>
      <c r="D296" s="2143">
        <v>0.15</v>
      </c>
      <c r="E296" s="2143">
        <v>0.15</v>
      </c>
      <c r="F296" s="2144">
        <v>0.15</v>
      </c>
    </row>
    <row r="297" spans="1:6" ht="14.25" thickBot="1">
      <c r="A297" s="1552" t="s">
        <v>1895</v>
      </c>
      <c r="B297" s="1546" t="s">
        <v>2629</v>
      </c>
      <c r="C297" s="2143">
        <v>0.14799999999999999</v>
      </c>
      <c r="D297" s="2143">
        <v>0.14899999999999999</v>
      </c>
      <c r="E297" s="2143">
        <v>0.15</v>
      </c>
      <c r="F297" s="2144">
        <v>0.13700000000000001</v>
      </c>
    </row>
    <row r="298" spans="1:6" ht="14.25" thickBot="1">
      <c r="A298" s="1552" t="s">
        <v>1895</v>
      </c>
      <c r="B298" s="1546" t="s">
        <v>1628</v>
      </c>
      <c r="C298" s="2143">
        <v>0.13400000000000001</v>
      </c>
      <c r="D298" s="2143">
        <v>0.13400000000000001</v>
      </c>
      <c r="E298" s="2143">
        <v>0.14499999999999999</v>
      </c>
      <c r="F298" s="2144">
        <v>0.14799999999999999</v>
      </c>
    </row>
    <row r="299" spans="1:6" ht="14.25" thickBot="1">
      <c r="A299" s="1552" t="s">
        <v>1895</v>
      </c>
      <c r="B299" s="1546" t="s">
        <v>1640</v>
      </c>
      <c r="C299" s="2143">
        <v>0.15</v>
      </c>
      <c r="D299" s="2143">
        <v>0.15</v>
      </c>
      <c r="E299" s="2143">
        <v>0.15</v>
      </c>
      <c r="F299" s="2155"/>
    </row>
    <row r="300" spans="1:6" ht="14.25" thickBot="1">
      <c r="A300" s="1552" t="s">
        <v>1895</v>
      </c>
      <c r="B300" s="1546" t="s">
        <v>2630</v>
      </c>
      <c r="C300" s="2143">
        <v>0.15</v>
      </c>
      <c r="D300" s="2143">
        <v>0.15</v>
      </c>
      <c r="E300" s="2143">
        <v>0.15</v>
      </c>
      <c r="F300" s="2144">
        <v>0.15</v>
      </c>
    </row>
    <row r="301" spans="1:6" ht="14.25" thickBot="1">
      <c r="A301" s="1552" t="s">
        <v>1895</v>
      </c>
      <c r="B301" s="1546" t="s">
        <v>1660</v>
      </c>
      <c r="C301" s="2143">
        <v>0.15</v>
      </c>
      <c r="D301" s="2143">
        <v>0.15</v>
      </c>
      <c r="E301" s="2143">
        <v>0.15</v>
      </c>
      <c r="F301" s="2155"/>
    </row>
    <row r="302" spans="1:6" ht="14.25" thickBot="1">
      <c r="A302" s="1552" t="s">
        <v>1895</v>
      </c>
      <c r="B302" s="1546" t="s">
        <v>2631</v>
      </c>
      <c r="C302" s="2143">
        <v>0.15</v>
      </c>
      <c r="D302" s="2143">
        <v>0.15</v>
      </c>
      <c r="E302" s="2143">
        <v>0.15</v>
      </c>
      <c r="F302" s="2144">
        <v>0.15</v>
      </c>
    </row>
    <row r="303" spans="1:6" ht="14.25" thickBot="1">
      <c r="A303" s="1552" t="s">
        <v>1895</v>
      </c>
      <c r="B303" s="1546" t="s">
        <v>1680</v>
      </c>
      <c r="C303" s="2143">
        <v>0.15</v>
      </c>
      <c r="D303" s="2143">
        <v>0.15</v>
      </c>
      <c r="E303" s="2143">
        <v>0.15</v>
      </c>
      <c r="F303" s="2144">
        <v>0.15</v>
      </c>
    </row>
    <row r="304" spans="1:6" ht="14.25" thickBot="1">
      <c r="A304" s="1552" t="s">
        <v>1895</v>
      </c>
      <c r="B304" s="1546" t="s">
        <v>1691</v>
      </c>
      <c r="C304" s="2143">
        <v>0.15</v>
      </c>
      <c r="D304" s="2143">
        <v>0.15</v>
      </c>
      <c r="E304" s="2143">
        <v>0.15</v>
      </c>
      <c r="F304" s="2155"/>
    </row>
    <row r="305" spans="1:6" ht="14.25" thickBot="1">
      <c r="A305" s="1552" t="s">
        <v>1895</v>
      </c>
      <c r="B305" s="1546" t="s">
        <v>2632</v>
      </c>
      <c r="C305" s="2143">
        <v>0.15</v>
      </c>
      <c r="D305" s="2143">
        <v>0.15</v>
      </c>
      <c r="E305" s="2143">
        <v>0.15</v>
      </c>
      <c r="F305" s="2144">
        <v>0.14000000000000001</v>
      </c>
    </row>
    <row r="306" spans="1:6" ht="14.25" thickBot="1">
      <c r="A306" s="1552" t="s">
        <v>1895</v>
      </c>
      <c r="B306" s="1546" t="s">
        <v>1712</v>
      </c>
      <c r="C306" s="2143">
        <v>0.15</v>
      </c>
      <c r="D306" s="2143">
        <v>0.15</v>
      </c>
      <c r="E306" s="2143">
        <v>0.15</v>
      </c>
      <c r="F306" s="2155"/>
    </row>
    <row r="307" spans="1:6" ht="14.25" thickBot="1">
      <c r="A307" s="1552" t="s">
        <v>1895</v>
      </c>
      <c r="B307" s="1546" t="s">
        <v>2633</v>
      </c>
      <c r="C307" s="2143">
        <v>0.15</v>
      </c>
      <c r="D307" s="2143">
        <v>0.15</v>
      </c>
      <c r="E307" s="2143">
        <v>0.15</v>
      </c>
      <c r="F307" s="2144">
        <v>0.14299999999999999</v>
      </c>
    </row>
    <row r="308" spans="1:6" ht="14.25" thickBot="1">
      <c r="A308" s="1552" t="s">
        <v>1895</v>
      </c>
      <c r="B308" s="1546" t="s">
        <v>1732</v>
      </c>
      <c r="C308" s="2143">
        <v>0.15</v>
      </c>
      <c r="D308" s="2143">
        <v>0.15</v>
      </c>
      <c r="E308" s="2143">
        <v>0.15</v>
      </c>
      <c r="F308" s="2144">
        <v>0.15</v>
      </c>
    </row>
    <row r="309" spans="1:6" ht="14.25" thickBot="1">
      <c r="A309" s="1552" t="s">
        <v>1895</v>
      </c>
      <c r="B309" s="1546" t="s">
        <v>1742</v>
      </c>
      <c r="C309" s="2143">
        <v>0.15</v>
      </c>
      <c r="D309" s="2143">
        <v>0.15</v>
      </c>
      <c r="E309" s="2143">
        <v>0.15</v>
      </c>
      <c r="F309" s="2155"/>
    </row>
    <row r="310" spans="1:6" ht="14.25" thickBot="1">
      <c r="A310" s="1552" t="s">
        <v>1895</v>
      </c>
      <c r="B310" s="1546" t="s">
        <v>2634</v>
      </c>
      <c r="C310" s="2143">
        <v>0.15</v>
      </c>
      <c r="D310" s="2143">
        <v>0.15</v>
      </c>
      <c r="E310" s="2143">
        <v>0.15</v>
      </c>
      <c r="F310" s="2144">
        <v>0.13700000000000001</v>
      </c>
    </row>
    <row r="311" spans="1:6" ht="14.25" thickBot="1">
      <c r="A311" s="1552" t="s">
        <v>1895</v>
      </c>
      <c r="B311" s="1546" t="s">
        <v>2635</v>
      </c>
      <c r="C311" s="2143">
        <v>0.15</v>
      </c>
      <c r="D311" s="2143">
        <v>0.15</v>
      </c>
      <c r="E311" s="2143">
        <v>0.15</v>
      </c>
      <c r="F311" s="2144">
        <v>0.15</v>
      </c>
    </row>
    <row r="312" spans="1:6" ht="14.25" thickBot="1">
      <c r="A312" s="1552" t="s">
        <v>1895</v>
      </c>
      <c r="B312" s="1546" t="s">
        <v>1768</v>
      </c>
      <c r="C312" s="2143">
        <v>0.15</v>
      </c>
      <c r="D312" s="2143">
        <v>0.15</v>
      </c>
      <c r="E312" s="2143">
        <v>0.15</v>
      </c>
      <c r="F312" s="2144">
        <v>0.1</v>
      </c>
    </row>
    <row r="313" spans="1:6" ht="14.25" thickBot="1">
      <c r="A313" s="1552" t="s">
        <v>1895</v>
      </c>
      <c r="B313" s="1546" t="s">
        <v>2636</v>
      </c>
      <c r="C313" s="2143">
        <v>0.15</v>
      </c>
      <c r="D313" s="2143">
        <v>0.15</v>
      </c>
      <c r="E313" s="2143">
        <v>0.15</v>
      </c>
      <c r="F313" s="2144">
        <v>0.15</v>
      </c>
    </row>
    <row r="314" spans="1:6" ht="24.75" thickBot="1">
      <c r="A314" s="1552" t="s">
        <v>1895</v>
      </c>
      <c r="B314" s="1546" t="s">
        <v>2637</v>
      </c>
      <c r="C314" s="2156"/>
      <c r="D314" s="2156"/>
      <c r="E314" s="2156"/>
      <c r="F314" s="2144">
        <v>0.05</v>
      </c>
    </row>
    <row r="315" spans="1:6" ht="24.75" thickBot="1">
      <c r="A315" s="1552" t="s">
        <v>1895</v>
      </c>
      <c r="B315" s="1546" t="s">
        <v>2638</v>
      </c>
      <c r="C315" s="2156"/>
      <c r="D315" s="2156"/>
      <c r="E315" s="2156"/>
      <c r="F315" s="2144">
        <v>0.05</v>
      </c>
    </row>
    <row r="316" spans="1:6" ht="24.75" thickBot="1">
      <c r="A316" s="1562" t="s">
        <v>1895</v>
      </c>
      <c r="B316" s="1558" t="s">
        <v>2639</v>
      </c>
      <c r="C316" s="2153"/>
      <c r="D316" s="2153"/>
      <c r="E316" s="2153"/>
      <c r="F316" s="2146">
        <v>0.05</v>
      </c>
    </row>
    <row r="317" spans="1:6" ht="14.25" thickBot="1">
      <c r="A317" s="1552" t="s">
        <v>2640</v>
      </c>
      <c r="B317" s="1553" t="s">
        <v>2641</v>
      </c>
      <c r="C317" s="2141">
        <v>0.15</v>
      </c>
      <c r="D317" s="2141">
        <v>0.15</v>
      </c>
      <c r="E317" s="2141">
        <v>0.15</v>
      </c>
      <c r="F317" s="2142">
        <v>0.15</v>
      </c>
    </row>
    <row r="318" spans="1:6" ht="14.25" thickBot="1">
      <c r="A318" s="1552" t="s">
        <v>2640</v>
      </c>
      <c r="B318" s="1546" t="s">
        <v>2642</v>
      </c>
      <c r="C318" s="2143">
        <v>0.107</v>
      </c>
      <c r="D318" s="2143">
        <v>0.11</v>
      </c>
      <c r="E318" s="2143">
        <v>0.112</v>
      </c>
      <c r="F318" s="2155"/>
    </row>
    <row r="319" spans="1:6" ht="14.25" thickBot="1">
      <c r="A319" s="1552" t="s">
        <v>2640</v>
      </c>
      <c r="B319" s="1546" t="s">
        <v>2643</v>
      </c>
      <c r="C319" s="2143">
        <v>0.15</v>
      </c>
      <c r="D319" s="2143">
        <v>0.15</v>
      </c>
      <c r="E319" s="2143">
        <v>0.15</v>
      </c>
      <c r="F319" s="2144">
        <v>0.15</v>
      </c>
    </row>
    <row r="320" spans="1:6" ht="14.25" thickBot="1">
      <c r="A320" s="1552" t="s">
        <v>2640</v>
      </c>
      <c r="B320" s="1546" t="s">
        <v>1584</v>
      </c>
      <c r="C320" s="2143">
        <v>0.15</v>
      </c>
      <c r="D320" s="2143">
        <v>0.15</v>
      </c>
      <c r="E320" s="2143">
        <v>0.15</v>
      </c>
      <c r="F320" s="2155"/>
    </row>
    <row r="321" spans="1:6" ht="14.25" thickBot="1">
      <c r="A321" s="1552" t="s">
        <v>2640</v>
      </c>
      <c r="B321" s="1546" t="s">
        <v>2644</v>
      </c>
      <c r="C321" s="2143">
        <v>0.15</v>
      </c>
      <c r="D321" s="2143">
        <v>0.15</v>
      </c>
      <c r="E321" s="2143">
        <v>0.15</v>
      </c>
      <c r="F321" s="2155"/>
    </row>
    <row r="322" spans="1:6" ht="14.25" thickBot="1">
      <c r="A322" s="1552" t="s">
        <v>2640</v>
      </c>
      <c r="B322" s="1546" t="s">
        <v>2645</v>
      </c>
      <c r="C322" s="2143">
        <v>0.15</v>
      </c>
      <c r="D322" s="2143">
        <v>0.15</v>
      </c>
      <c r="E322" s="2143">
        <v>0.15</v>
      </c>
      <c r="F322" s="2144">
        <v>0.15</v>
      </c>
    </row>
    <row r="323" spans="1:6" ht="14.25" thickBot="1">
      <c r="A323" s="1552" t="s">
        <v>2640</v>
      </c>
      <c r="B323" s="1546" t="s">
        <v>2646</v>
      </c>
      <c r="C323" s="2143">
        <v>0.15</v>
      </c>
      <c r="D323" s="2143">
        <v>0.15</v>
      </c>
      <c r="E323" s="2143">
        <v>0.15</v>
      </c>
      <c r="F323" s="2155"/>
    </row>
    <row r="324" spans="1:6" ht="14.25" thickBot="1">
      <c r="A324" s="1552" t="s">
        <v>2640</v>
      </c>
      <c r="B324" s="1546" t="s">
        <v>2647</v>
      </c>
      <c r="C324" s="2143">
        <v>0.15</v>
      </c>
      <c r="D324" s="2143">
        <v>0.15</v>
      </c>
      <c r="E324" s="2143">
        <v>0.15</v>
      </c>
      <c r="F324" s="2155"/>
    </row>
    <row r="325" spans="1:6" ht="14.25" thickBot="1">
      <c r="A325" s="1552" t="s">
        <v>2640</v>
      </c>
      <c r="B325" s="1546" t="s">
        <v>2648</v>
      </c>
      <c r="C325" s="2143">
        <v>0.15</v>
      </c>
      <c r="D325" s="2143">
        <v>0.15</v>
      </c>
      <c r="E325" s="2143">
        <v>0.15</v>
      </c>
      <c r="F325" s="2144">
        <v>0.14699999999999999</v>
      </c>
    </row>
    <row r="326" spans="1:6" ht="14.25" thickBot="1">
      <c r="A326" s="1552" t="s">
        <v>2640</v>
      </c>
      <c r="B326" s="1546" t="s">
        <v>1651</v>
      </c>
      <c r="C326" s="2143">
        <v>0.15</v>
      </c>
      <c r="D326" s="2143">
        <v>0.15</v>
      </c>
      <c r="E326" s="2143">
        <v>0.15</v>
      </c>
      <c r="F326" s="2155"/>
    </row>
    <row r="327" spans="1:6" ht="14.25" thickBot="1">
      <c r="A327" s="1552" t="s">
        <v>2640</v>
      </c>
      <c r="B327" s="1546" t="s">
        <v>2649</v>
      </c>
      <c r="C327" s="2143">
        <v>0.15</v>
      </c>
      <c r="D327" s="2143">
        <v>0.15</v>
      </c>
      <c r="E327" s="2143">
        <v>0.15</v>
      </c>
      <c r="F327" s="2144">
        <v>0.15</v>
      </c>
    </row>
    <row r="328" spans="1:6" ht="14.25" thickBot="1">
      <c r="A328" s="1552" t="s">
        <v>2640</v>
      </c>
      <c r="B328" s="1546" t="s">
        <v>1671</v>
      </c>
      <c r="C328" s="2143">
        <v>0.15</v>
      </c>
      <c r="D328" s="2143">
        <v>0.15</v>
      </c>
      <c r="E328" s="2143">
        <v>0.15</v>
      </c>
      <c r="F328" s="2144">
        <v>0.14099999999999999</v>
      </c>
    </row>
    <row r="329" spans="1:6" ht="14.25" thickBot="1">
      <c r="A329" s="1552" t="s">
        <v>2640</v>
      </c>
      <c r="B329" s="1546" t="s">
        <v>1681</v>
      </c>
      <c r="C329" s="2143">
        <v>0.15</v>
      </c>
      <c r="D329" s="2143">
        <v>0.15</v>
      </c>
      <c r="E329" s="2143">
        <v>0.15</v>
      </c>
      <c r="F329" s="2144">
        <v>0.15</v>
      </c>
    </row>
    <row r="330" spans="1:6" ht="14.25" thickBot="1">
      <c r="A330" s="1552" t="s">
        <v>2640</v>
      </c>
      <c r="B330" s="1546" t="s">
        <v>1692</v>
      </c>
      <c r="C330" s="2143">
        <v>0.15</v>
      </c>
      <c r="D330" s="2143">
        <v>0.15</v>
      </c>
      <c r="E330" s="2143">
        <v>0.15</v>
      </c>
      <c r="F330" s="2155"/>
    </row>
    <row r="331" spans="1:6" ht="14.25" thickBot="1">
      <c r="A331" s="1552" t="s">
        <v>2640</v>
      </c>
      <c r="B331" s="1546" t="s">
        <v>2650</v>
      </c>
      <c r="C331" s="2143">
        <v>0.15</v>
      </c>
      <c r="D331" s="2143">
        <v>0.15</v>
      </c>
      <c r="E331" s="2143">
        <v>0.15</v>
      </c>
      <c r="F331" s="2144">
        <v>0.15</v>
      </c>
    </row>
    <row r="332" spans="1:6" ht="14.25" thickBot="1">
      <c r="A332" s="1552" t="s">
        <v>2640</v>
      </c>
      <c r="B332" s="1546" t="s">
        <v>1713</v>
      </c>
      <c r="C332" s="2143">
        <v>0.15</v>
      </c>
      <c r="D332" s="2143">
        <v>0.15</v>
      </c>
      <c r="E332" s="2143">
        <v>0.15</v>
      </c>
      <c r="F332" s="2144">
        <v>0.15</v>
      </c>
    </row>
    <row r="333" spans="1:6" ht="14.25" thickBot="1">
      <c r="A333" s="1552" t="s">
        <v>2640</v>
      </c>
      <c r="B333" s="1546" t="s">
        <v>2651</v>
      </c>
      <c r="C333" s="2143">
        <v>0.15</v>
      </c>
      <c r="D333" s="2143">
        <v>0.15</v>
      </c>
      <c r="E333" s="2143">
        <v>0.15</v>
      </c>
      <c r="F333" s="2144">
        <v>0.14099999999999999</v>
      </c>
    </row>
    <row r="334" spans="1:6" ht="14.25" thickBot="1">
      <c r="A334" s="1552" t="s">
        <v>2640</v>
      </c>
      <c r="B334" s="1546" t="s">
        <v>1733</v>
      </c>
      <c r="C334" s="2143">
        <v>0.15</v>
      </c>
      <c r="D334" s="2143">
        <v>0.15</v>
      </c>
      <c r="E334" s="2143">
        <v>0.15</v>
      </c>
      <c r="F334" s="2144">
        <v>0.15</v>
      </c>
    </row>
    <row r="335" spans="1:6" ht="14.25" thickBot="1">
      <c r="A335" s="1552" t="s">
        <v>2640</v>
      </c>
      <c r="B335" s="1546" t="s">
        <v>1743</v>
      </c>
      <c r="C335" s="2143">
        <v>0.15</v>
      </c>
      <c r="D335" s="2143">
        <v>0.15</v>
      </c>
      <c r="E335" s="2143">
        <v>0.15</v>
      </c>
      <c r="F335" s="2155"/>
    </row>
    <row r="336" spans="1:6" ht="14.25" thickBot="1">
      <c r="A336" s="1552" t="s">
        <v>2640</v>
      </c>
      <c r="B336" s="1546" t="s">
        <v>2652</v>
      </c>
      <c r="C336" s="2143">
        <v>0.15</v>
      </c>
      <c r="D336" s="2143">
        <v>0.15</v>
      </c>
      <c r="E336" s="2143">
        <v>0.15</v>
      </c>
      <c r="F336" s="2144">
        <v>0.11799999999999999</v>
      </c>
    </row>
    <row r="337" spans="1:6" ht="14.25" thickBot="1">
      <c r="A337" s="1562" t="s">
        <v>2640</v>
      </c>
      <c r="B337" s="1558" t="s">
        <v>1761</v>
      </c>
      <c r="C337" s="2153"/>
      <c r="D337" s="2153"/>
      <c r="E337" s="2153"/>
      <c r="F337" s="2146">
        <v>0.14299999999999999</v>
      </c>
    </row>
    <row r="338" spans="1:6" ht="14.25" thickBot="1">
      <c r="A338" s="1552" t="s">
        <v>2653</v>
      </c>
      <c r="B338" s="1553" t="s">
        <v>2654</v>
      </c>
      <c r="C338" s="2141">
        <v>0.15</v>
      </c>
      <c r="D338" s="2141">
        <v>0.15</v>
      </c>
      <c r="E338" s="2141">
        <v>0.15</v>
      </c>
      <c r="F338" s="2158"/>
    </row>
    <row r="339" spans="1:6" ht="14.25" thickBot="1">
      <c r="A339" s="1552" t="s">
        <v>2653</v>
      </c>
      <c r="B339" s="1546" t="s">
        <v>2655</v>
      </c>
      <c r="C339" s="2143">
        <v>0.15</v>
      </c>
      <c r="D339" s="2143">
        <v>0.15</v>
      </c>
      <c r="E339" s="2143">
        <v>0.15</v>
      </c>
      <c r="F339" s="2155"/>
    </row>
    <row r="340" spans="1:6" ht="14.25" thickBot="1">
      <c r="A340" s="1552" t="s">
        <v>2653</v>
      </c>
      <c r="B340" s="1546" t="s">
        <v>2656</v>
      </c>
      <c r="C340" s="2143">
        <v>0.15</v>
      </c>
      <c r="D340" s="2143">
        <v>0.15</v>
      </c>
      <c r="E340" s="2143">
        <v>0.15</v>
      </c>
      <c r="F340" s="2155"/>
    </row>
    <row r="341" spans="1:6" ht="14.25" thickBot="1">
      <c r="A341" s="1552" t="s">
        <v>2653</v>
      </c>
      <c r="B341" s="1546" t="s">
        <v>2657</v>
      </c>
      <c r="C341" s="2143">
        <v>0.15</v>
      </c>
      <c r="D341" s="2143">
        <v>0.15</v>
      </c>
      <c r="E341" s="2143">
        <v>0.15</v>
      </c>
      <c r="F341" s="2144">
        <v>0.15</v>
      </c>
    </row>
    <row r="342" spans="1:6" ht="14.25" thickBot="1">
      <c r="A342" s="1552" t="s">
        <v>2653</v>
      </c>
      <c r="B342" s="1546" t="s">
        <v>2658</v>
      </c>
      <c r="C342" s="2143">
        <v>0.15</v>
      </c>
      <c r="D342" s="2143">
        <v>0.15</v>
      </c>
      <c r="E342" s="2143">
        <v>0.15</v>
      </c>
      <c r="F342" s="2144">
        <v>0.15</v>
      </c>
    </row>
    <row r="343" spans="1:6" ht="14.25" thickBot="1">
      <c r="A343" s="1552" t="s">
        <v>2653</v>
      </c>
      <c r="B343" s="1546" t="s">
        <v>2659</v>
      </c>
      <c r="C343" s="2143">
        <v>0.15</v>
      </c>
      <c r="D343" s="2143">
        <v>0.15</v>
      </c>
      <c r="E343" s="2143">
        <v>0.15</v>
      </c>
      <c r="F343" s="2144">
        <v>0.15</v>
      </c>
    </row>
    <row r="344" spans="1:6" ht="14.25" thickBot="1">
      <c r="A344" s="1562" t="s">
        <v>2653</v>
      </c>
      <c r="B344" s="1558" t="s">
        <v>2660</v>
      </c>
      <c r="C344" s="2145">
        <v>0.15</v>
      </c>
      <c r="D344" s="2145">
        <v>0.15</v>
      </c>
      <c r="E344" s="2145">
        <v>0.15</v>
      </c>
      <c r="F344" s="2146">
        <v>0.15</v>
      </c>
    </row>
  </sheetData>
  <sheetProtection password="C66D" sheet="1" objects="1" scenarios="1"/>
  <mergeCells count="1">
    <mergeCell ref="A1:B1"/>
  </mergeCells>
  <phoneticPr fontId="12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3313</v>
      </c>
      <c r="C1" s="3239">
        <f>项目基本情况!D3</f>
        <v>42959</v>
      </c>
      <c r="D1" s="3245" t="s">
        <v>3314</v>
      </c>
      <c r="E1" s="3240">
        <f>'数据-取费表'!B22</f>
        <v>2.5</v>
      </c>
      <c r="F1" s="3245" t="s">
        <v>3315</v>
      </c>
      <c r="G1" s="3241">
        <f ca="1">INDIRECT("d"&amp;$K$1)/100</f>
        <v>4.7500000000000001E-2</v>
      </c>
      <c r="H1" s="3245" t="s">
        <v>3345</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3316</v>
      </c>
      <c r="E2" s="3181"/>
      <c r="F2" s="3181" t="s">
        <v>3317</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3318</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3319</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3320</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3321</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3322</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3323</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3324</v>
      </c>
      <c r="C10" s="3209"/>
      <c r="D10" s="3209"/>
      <c r="E10" s="3209"/>
      <c r="F10" s="3209"/>
      <c r="G10" s="3209"/>
      <c r="H10" s="3209"/>
      <c r="I10" s="3183"/>
      <c r="J10" s="3183"/>
      <c r="K10" s="3209"/>
      <c r="L10" s="3210" t="s">
        <v>3325</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3326</v>
      </c>
      <c r="C11" s="3214" t="s">
        <v>3327</v>
      </c>
      <c r="D11" s="3215" t="s">
        <v>3328</v>
      </c>
      <c r="E11" s="3216"/>
      <c r="F11" s="3215" t="s">
        <v>3329</v>
      </c>
      <c r="G11" s="3217"/>
      <c r="H11" s="3216"/>
      <c r="I11" s="3215" t="s">
        <v>3330</v>
      </c>
      <c r="J11" s="3216"/>
      <c r="K11" s="3212"/>
      <c r="L11" s="3213" t="s">
        <v>3326</v>
      </c>
      <c r="M11" s="3214" t="s">
        <v>3327</v>
      </c>
      <c r="N11" s="3213" t="s">
        <v>3331</v>
      </c>
      <c r="O11" s="3215" t="s">
        <v>3332</v>
      </c>
      <c r="P11" s="3217"/>
      <c r="Q11" s="3217"/>
      <c r="R11" s="3217"/>
      <c r="S11" s="3217"/>
      <c r="T11" s="3216"/>
      <c r="U11" s="3215" t="s">
        <v>3333</v>
      </c>
      <c r="V11" s="3217"/>
      <c r="W11" s="3216"/>
      <c r="X11" s="3213" t="s">
        <v>3334</v>
      </c>
      <c r="Y11" s="3213" t="s">
        <v>3335</v>
      </c>
      <c r="Z11" s="3213" t="s">
        <v>3336</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3337</v>
      </c>
      <c r="E12" s="3222" t="s">
        <v>3338</v>
      </c>
      <c r="F12" s="3222" t="s">
        <v>3339</v>
      </c>
      <c r="G12" s="3222" t="s">
        <v>3340</v>
      </c>
      <c r="H12" s="3222" t="s">
        <v>3322</v>
      </c>
      <c r="I12" s="3223" t="s">
        <v>3341</v>
      </c>
      <c r="J12" s="3223" t="s">
        <v>3341</v>
      </c>
      <c r="K12" s="3219"/>
      <c r="L12" s="3220"/>
      <c r="M12" s="3221"/>
      <c r="N12" s="3220"/>
      <c r="O12" s="3223" t="s">
        <v>3342</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3343</v>
      </c>
      <c r="C13" s="3227">
        <v>42301</v>
      </c>
      <c r="D13" s="3228">
        <v>4.3499999999999996</v>
      </c>
      <c r="E13" s="3228">
        <v>4.3499999999999996</v>
      </c>
      <c r="F13" s="3228">
        <v>4.75</v>
      </c>
      <c r="G13" s="3228">
        <v>4.75</v>
      </c>
      <c r="H13" s="3228">
        <v>4.9000000000000004</v>
      </c>
      <c r="I13" s="3228">
        <v>2.75</v>
      </c>
      <c r="J13" s="3228">
        <v>3.25</v>
      </c>
      <c r="K13" s="3225"/>
      <c r="L13" s="3226" t="s">
        <v>3343</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3344</v>
      </c>
      <c r="Y42" s="3232" t="s">
        <v>3344</v>
      </c>
      <c r="Z42" s="3232" t="s">
        <v>3344</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3344</v>
      </c>
      <c r="Y43" s="3232" t="s">
        <v>3344</v>
      </c>
      <c r="Z43" s="3232" t="s">
        <v>3344</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3344</v>
      </c>
      <c r="Y44" s="3232" t="s">
        <v>3344</v>
      </c>
      <c r="Z44" s="3232" t="s">
        <v>3344</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3344</v>
      </c>
      <c r="Y45" s="3232" t="s">
        <v>3344</v>
      </c>
      <c r="Z45" s="3232" t="s">
        <v>3344</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3344</v>
      </c>
      <c r="Y46" s="3232" t="s">
        <v>3344</v>
      </c>
      <c r="Z46" s="3232" t="s">
        <v>3344</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3344</v>
      </c>
      <c r="Y47" s="3232" t="s">
        <v>3344</v>
      </c>
      <c r="Z47" s="3232" t="s">
        <v>3344</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3344</v>
      </c>
      <c r="Y48" s="3232" t="s">
        <v>3344</v>
      </c>
      <c r="Z48" s="3232" t="s">
        <v>3344</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3344</v>
      </c>
      <c r="Y49" s="3232" t="s">
        <v>3344</v>
      </c>
      <c r="Z49" s="3232" t="s">
        <v>3344</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3344</v>
      </c>
      <c r="Y50" s="3232" t="s">
        <v>3344</v>
      </c>
      <c r="Z50" s="3232" t="s">
        <v>3344</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3344</v>
      </c>
      <c r="V51" s="3232" t="s">
        <v>3344</v>
      </c>
      <c r="W51" s="3232" t="s">
        <v>3344</v>
      </c>
      <c r="X51" s="3232" t="s">
        <v>3344</v>
      </c>
      <c r="Y51" s="3232" t="s">
        <v>3344</v>
      </c>
      <c r="Z51" s="3232" t="s">
        <v>3344</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3344</v>
      </c>
      <c r="J55" s="3232" t="s">
        <v>3344</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34" t="s">
        <v>2400</v>
      </c>
      <c r="B1" s="3434"/>
      <c r="C1" s="3434"/>
      <c r="D1" s="3434"/>
      <c r="E1" s="3434"/>
      <c r="F1" s="3434"/>
      <c r="G1" s="3434"/>
      <c r="H1" s="3434"/>
      <c r="I1" s="3434"/>
    </row>
    <row r="2" spans="1:9" ht="30" customHeight="1" thickTop="1">
      <c r="A2" s="3435" t="s">
        <v>3281</v>
      </c>
      <c r="B2" s="3435" t="s">
        <v>2401</v>
      </c>
      <c r="C2" s="3435" t="s">
        <v>2402</v>
      </c>
      <c r="D2" s="3435" t="str">
        <f>结果表!D116</f>
        <v>出让国有建设用地使用权价值</v>
      </c>
      <c r="E2" s="3435"/>
      <c r="F2" s="3435" t="str">
        <f>结果表!F116</f>
        <v>在建建筑物价值</v>
      </c>
      <c r="G2" s="3435"/>
      <c r="H2" s="3435" t="s">
        <v>6</v>
      </c>
      <c r="I2" s="3435"/>
    </row>
    <row r="3" spans="1:9" ht="14.25">
      <c r="A3" s="3436"/>
      <c r="B3" s="3436"/>
      <c r="C3" s="3436"/>
      <c r="D3" s="1936" t="s">
        <v>7</v>
      </c>
      <c r="E3" s="1936" t="s">
        <v>2403</v>
      </c>
      <c r="F3" s="1936" t="s">
        <v>7</v>
      </c>
      <c r="G3" s="1936" t="s">
        <v>8</v>
      </c>
      <c r="H3" s="1936" t="s">
        <v>7</v>
      </c>
      <c r="I3" s="1936" t="s">
        <v>8</v>
      </c>
    </row>
    <row r="4" spans="1:9" ht="42.75">
      <c r="A4" s="2007" t="str">
        <f>项目基本情况!S2</f>
        <v>河南省郑州市金水区红旗路北、经七路东出让国有建设用地使用权及在建建筑物房地产</v>
      </c>
      <c r="B4" s="2001">
        <f>项目基本情况!C17</f>
        <v>144992.93</v>
      </c>
      <c r="C4" s="2001">
        <f>项目基本情况!C18</f>
        <v>24814.06</v>
      </c>
      <c r="D4" s="2001">
        <f ca="1">结果表!D118</f>
        <v>187869</v>
      </c>
      <c r="E4" s="2001">
        <f ca="1">结果表!E118</f>
        <v>12957</v>
      </c>
      <c r="F4" s="2001">
        <f ca="1">结果表!F118</f>
        <v>44068</v>
      </c>
      <c r="G4" s="2001">
        <f ca="1">结果表!G118</f>
        <v>3039</v>
      </c>
      <c r="H4" s="2001">
        <f ca="1">结果表!H118</f>
        <v>231937</v>
      </c>
      <c r="I4" s="2001">
        <f ca="1">结果表!I118</f>
        <v>15996</v>
      </c>
    </row>
    <row r="5" spans="1:9" ht="30" customHeight="1">
      <c r="A5" s="3436" t="s">
        <v>9</v>
      </c>
      <c r="B5" s="3436"/>
      <c r="C5" s="3436"/>
      <c r="D5" s="3437" t="str">
        <f ca="1">结果表!D119</f>
        <v>壹拾捌亿柒仟捌佰陆拾玖万元整</v>
      </c>
      <c r="E5" s="3437"/>
      <c r="F5" s="3437" t="str">
        <f ca="1">结果表!F119</f>
        <v>肆亿肆仟零陆拾捌万元整</v>
      </c>
      <c r="G5" s="3437"/>
      <c r="H5" s="3437" t="str">
        <f ca="1">结果表!H119</f>
        <v>贰拾叁亿壹仟玖佰叁拾柒万元整</v>
      </c>
      <c r="I5" s="3437"/>
    </row>
    <row r="6" spans="1:9" ht="15.75">
      <c r="A6" s="3438" t="str">
        <f>结果表!A120</f>
        <v>估价师知悉的除抵押担保权以外的法定优先受偿款</v>
      </c>
      <c r="B6" s="3438"/>
      <c r="C6" s="3438"/>
      <c r="D6" s="3439">
        <f>结果表!D120</f>
        <v>13304</v>
      </c>
      <c r="E6" s="3439"/>
      <c r="F6" s="3439"/>
      <c r="G6" s="3439"/>
      <c r="H6" s="3439"/>
      <c r="I6" s="3439"/>
    </row>
    <row r="7" spans="1:9" ht="14.25">
      <c r="A7" s="3436" t="s">
        <v>9</v>
      </c>
      <c r="B7" s="3436"/>
      <c r="C7" s="3436"/>
      <c r="D7" s="3440" t="str">
        <f>结果表!D121</f>
        <v>壹亿叁仟叁佰零肆万元整</v>
      </c>
      <c r="E7" s="3441"/>
      <c r="F7" s="3441"/>
      <c r="G7" s="3441"/>
      <c r="H7" s="3441"/>
      <c r="I7" s="3442"/>
    </row>
    <row r="8" spans="1:9" ht="15.75">
      <c r="A8" s="3438" t="str">
        <f>结果表!A122</f>
        <v>房地产抵押价值</v>
      </c>
      <c r="B8" s="3438"/>
      <c r="C8" s="3438"/>
      <c r="D8" s="3439">
        <f ca="1">结果表!D122</f>
        <v>218633</v>
      </c>
      <c r="E8" s="3439"/>
      <c r="F8" s="3439"/>
      <c r="G8" s="3439"/>
      <c r="H8" s="3439"/>
      <c r="I8" s="3439"/>
    </row>
    <row r="9" spans="1:9" ht="14.25">
      <c r="A9" s="3436" t="s">
        <v>9</v>
      </c>
      <c r="B9" s="3436"/>
      <c r="C9" s="3436"/>
      <c r="D9" s="3437" t="str">
        <f ca="1">结果表!D123</f>
        <v>贰拾壹亿捌仟陆佰叁拾叁万元整</v>
      </c>
      <c r="E9" s="3437"/>
      <c r="F9" s="3437"/>
      <c r="G9" s="3437"/>
      <c r="H9" s="3437"/>
      <c r="I9" s="3437"/>
    </row>
    <row r="10" spans="1:9" ht="15.75">
      <c r="A10" s="3438" t="str">
        <f>结果表!A124</f>
        <v>抵押担保权已注销时的房地产抵押价值</v>
      </c>
      <c r="B10" s="3438"/>
      <c r="C10" s="3438"/>
      <c r="D10" s="3439">
        <f ca="1">结果表!D124</f>
        <v>218633</v>
      </c>
      <c r="E10" s="3439"/>
      <c r="F10" s="3439"/>
      <c r="G10" s="3439"/>
      <c r="H10" s="3439"/>
      <c r="I10" s="3439"/>
    </row>
    <row r="11" spans="1:9" ht="14.25">
      <c r="A11" s="3436" t="s">
        <v>9</v>
      </c>
      <c r="B11" s="3436"/>
      <c r="C11" s="3436"/>
      <c r="D11" s="3437" t="str">
        <f ca="1">结果表!D125</f>
        <v>贰拾壹亿捌仟陆佰叁拾叁万元整</v>
      </c>
      <c r="E11" s="3437"/>
      <c r="F11" s="3437"/>
      <c r="G11" s="3437"/>
      <c r="H11" s="3437"/>
      <c r="I11" s="3437"/>
    </row>
    <row r="12" spans="1:9" ht="15.75">
      <c r="A12" s="3438" t="str">
        <f>结果表!A126</f>
        <v>抵押净值</v>
      </c>
      <c r="B12" s="3438"/>
      <c r="C12" s="3438"/>
      <c r="D12" s="3439">
        <f ca="1">结果表!D126</f>
        <v>87241</v>
      </c>
      <c r="E12" s="3439"/>
      <c r="F12" s="3439"/>
      <c r="G12" s="3439"/>
      <c r="H12" s="3439"/>
      <c r="I12" s="3439"/>
    </row>
    <row r="13" spans="1:9" ht="15" thickBot="1">
      <c r="A13" s="3443" t="s">
        <v>9</v>
      </c>
      <c r="B13" s="3443"/>
      <c r="C13" s="3443"/>
      <c r="D13" s="3444" t="str">
        <f ca="1">结果表!D127</f>
        <v>捌亿柒仟贰佰肆拾壹万元整</v>
      </c>
      <c r="E13" s="3444"/>
      <c r="F13" s="3444"/>
      <c r="G13" s="3444"/>
      <c r="H13" s="3444"/>
      <c r="I13" s="3444"/>
    </row>
    <row r="14" spans="1:9" ht="14.25" thickTop="1">
      <c r="A14" s="3445" t="s">
        <v>2404</v>
      </c>
      <c r="B14" s="3445"/>
      <c r="C14" s="3445"/>
      <c r="D14" s="3445"/>
      <c r="E14" s="3445"/>
      <c r="F14" s="3445"/>
      <c r="G14" s="3445"/>
      <c r="H14" s="3445"/>
      <c r="I14" s="3445"/>
    </row>
    <row r="16" spans="1:9" ht="18.75">
      <c r="A16" s="2016" t="s">
        <v>2405</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46" t="s">
        <v>3257</v>
      </c>
      <c r="B1" s="3446"/>
      <c r="C1" s="3446"/>
      <c r="D1" s="3446"/>
    </row>
    <row r="2" spans="1:4" ht="18.75">
      <c r="A2" s="3447" t="s">
        <v>2478</v>
      </c>
      <c r="B2" s="3447"/>
      <c r="C2" s="3447"/>
      <c r="D2" s="3447"/>
    </row>
    <row r="3" spans="1:4" ht="18.75">
      <c r="A3" s="2647" t="s">
        <v>2479</v>
      </c>
      <c r="B3" s="2647" t="s">
        <v>2480</v>
      </c>
      <c r="C3" s="2647" t="s">
        <v>2481</v>
      </c>
      <c r="D3" s="2647" t="s">
        <v>2482</v>
      </c>
    </row>
    <row r="4" spans="1:4" ht="56.25" customHeight="1">
      <c r="A4" s="2653" t="str">
        <f>项目基本情况!B4</f>
        <v>王鹏</v>
      </c>
      <c r="B4" s="2648">
        <f ca="1">项目基本情况!C4</f>
        <v>1120050019</v>
      </c>
      <c r="C4" s="2651"/>
      <c r="D4" s="2649" t="s">
        <v>2483</v>
      </c>
    </row>
    <row r="5" spans="1:4" ht="56.25" customHeight="1">
      <c r="A5" s="2653" t="str">
        <f>项目基本情况!D4</f>
        <v>郑燚</v>
      </c>
      <c r="B5" s="2648">
        <f ca="1">项目基本情况!E4</f>
        <v>1120070131</v>
      </c>
      <c r="C5" s="2652"/>
      <c r="D5" s="2649" t="s">
        <v>2483</v>
      </c>
    </row>
    <row r="6" spans="1:4" ht="18.75">
      <c r="A6" s="3447" t="s">
        <v>3015</v>
      </c>
      <c r="B6" s="3447"/>
      <c r="C6" s="3447"/>
      <c r="D6" s="3447"/>
    </row>
    <row r="7" spans="1:4" ht="18.75">
      <c r="A7" s="2647" t="s">
        <v>2479</v>
      </c>
      <c r="B7" s="2648" t="s">
        <v>2484</v>
      </c>
      <c r="C7" s="2647" t="s">
        <v>2481</v>
      </c>
      <c r="D7" s="2647" t="s">
        <v>2482</v>
      </c>
    </row>
    <row r="8" spans="1:4" ht="56.25" customHeight="1">
      <c r="A8" s="2650" t="s">
        <v>2485</v>
      </c>
      <c r="B8" s="2650" t="s">
        <v>23</v>
      </c>
      <c r="C8" s="2651"/>
      <c r="D8" s="2649" t="s">
        <v>2483</v>
      </c>
    </row>
    <row r="9" spans="1:4">
      <c r="A9" s="1518"/>
      <c r="B9" s="1518"/>
      <c r="C9" s="1518"/>
      <c r="D9" s="1518"/>
    </row>
    <row r="10" spans="1:4" ht="18.75">
      <c r="A10" s="2118" t="s">
        <v>2486</v>
      </c>
      <c r="B10" s="1518"/>
      <c r="C10" s="1518"/>
      <c r="D10" s="1518"/>
    </row>
    <row r="11" spans="1:4" ht="30" customHeight="1">
      <c r="A11" s="3448" t="s">
        <v>3111</v>
      </c>
      <c r="B11" s="3449"/>
      <c r="C11" s="3449"/>
      <c r="D11" s="3449"/>
    </row>
    <row r="12" spans="1:4" ht="14.25">
      <c r="A12" s="3449" t="str">
        <f>IF(项目基本情况!B8="抵押","2.本《评估意见函》仅供金融机构进行内部审核使用，不做其他目的之用。","")</f>
        <v>2.本《评估意见函》仅供金融机构进行内部审核使用，不做其他目的之用。</v>
      </c>
      <c r="B12" s="3450"/>
      <c r="C12" s="3450"/>
      <c r="D12" s="3450"/>
    </row>
    <row r="13" spans="1:4" ht="30" customHeight="1">
      <c r="A13" s="34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0"/>
      <c r="C13" s="3450"/>
      <c r="D13" s="3450"/>
    </row>
    <row r="14" spans="1:4" ht="15.75" customHeight="1">
      <c r="A14" s="3449" t="str">
        <f>IF(项目基本情况!B8="抵押","4.本次评估估价师所知悉的法定优先受偿款情况说明如下：","")</f>
        <v>4.本次评估估价师所知悉的法定优先受偿款情况说明如下：</v>
      </c>
      <c r="B14" s="3450"/>
      <c r="C14" s="3450"/>
      <c r="D14" s="3450"/>
    </row>
    <row r="15" spans="1:4" ht="42" customHeight="1">
      <c r="A15" s="344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49"/>
      <c r="C15" s="3449"/>
      <c r="D15" s="3449"/>
    </row>
    <row r="16" spans="1:4" ht="30" customHeight="1">
      <c r="A16" s="3452" t="s">
        <v>2490</v>
      </c>
      <c r="B16" s="3452"/>
      <c r="C16" s="3452"/>
      <c r="D16" s="3452"/>
    </row>
    <row r="17" spans="1:4" ht="144" customHeight="1">
      <c r="A17" s="3452" t="s">
        <v>2491</v>
      </c>
      <c r="B17" s="3452"/>
      <c r="C17" s="3452"/>
      <c r="D17" s="3452"/>
    </row>
    <row r="18" spans="1:4" ht="15.75" customHeight="1">
      <c r="A18" s="3449" t="str">
        <f>IF(项目基本情况!B8="抵押",结果表!K120,"")</f>
        <v>故，本次评估估价师知悉的除抵押担保权以外的法定优先受偿款为人民币13304万元整。</v>
      </c>
      <c r="B18" s="3449"/>
      <c r="C18" s="3449"/>
      <c r="D18" s="3449"/>
    </row>
    <row r="19" spans="1:4" ht="46.5" customHeight="1">
      <c r="A19" s="344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9"/>
      <c r="C19" s="3449"/>
      <c r="D19" s="3449"/>
    </row>
    <row r="20" spans="1:4" ht="57.75" customHeight="1">
      <c r="A20" s="344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9"/>
      <c r="C20" s="3449"/>
      <c r="D20" s="3449"/>
    </row>
    <row r="21" spans="1:4" ht="57.75" customHeight="1">
      <c r="A21" s="345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3"/>
      <c r="C21" s="3453"/>
      <c r="D21" s="3453"/>
    </row>
    <row r="22" spans="1:4" ht="18.75" customHeight="1">
      <c r="A22" s="3454" t="s">
        <v>3279</v>
      </c>
      <c r="B22" s="3454"/>
      <c r="C22" s="3454"/>
      <c r="D22" s="3454"/>
    </row>
    <row r="23" spans="1:4">
      <c r="A23" s="2008"/>
      <c r="B23" s="2017"/>
      <c r="C23" s="2017"/>
      <c r="D23" s="2017"/>
    </row>
    <row r="24" spans="1:4">
      <c r="A24" s="2008"/>
      <c r="B24" s="2017"/>
      <c r="C24" s="2017"/>
      <c r="D24" s="2017"/>
    </row>
    <row r="25" spans="1:4" ht="18.75">
      <c r="A25" s="2006" t="s">
        <v>2487</v>
      </c>
    </row>
    <row r="26" spans="1:4" ht="18.75">
      <c r="A26" s="1978"/>
    </row>
    <row r="27" spans="1:4" ht="18.75">
      <c r="A27" s="1978" t="s">
        <v>2488</v>
      </c>
    </row>
    <row r="30" spans="1:4" ht="18.75">
      <c r="D30" s="2006" t="s">
        <v>2489</v>
      </c>
    </row>
    <row r="31" spans="1:4" ht="13.5" customHeight="1">
      <c r="C31" s="3451">
        <v>42551</v>
      </c>
      <c r="D31" s="345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7" customWidth="1"/>
    <col min="3" max="10" width="12.5" style="2017" customWidth="1"/>
    <col min="11" max="16384" width="9" style="2017"/>
  </cols>
  <sheetData>
    <row r="1" spans="1:10" ht="18.75">
      <c r="A1" s="2910" t="s">
        <v>2497</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803</v>
      </c>
    </row>
    <row r="3" spans="1:7">
      <c r="A3" s="1144" t="s">
        <v>776</v>
      </c>
      <c r="B3" s="1145" t="s">
        <v>777</v>
      </c>
      <c r="G3" s="1146"/>
    </row>
    <row r="4" spans="1:7">
      <c r="G4" s="1146"/>
    </row>
    <row r="5" spans="1:7">
      <c r="A5" s="1148" t="s">
        <v>767</v>
      </c>
      <c r="B5" s="1145" t="s">
        <v>778</v>
      </c>
      <c r="G5" s="1146"/>
    </row>
    <row r="6" spans="1:7">
      <c r="G6" s="1146"/>
    </row>
    <row r="7" spans="1:7">
      <c r="A7" s="1149" t="s">
        <v>1479</v>
      </c>
      <c r="B7" s="1145" t="s">
        <v>779</v>
      </c>
      <c r="G7" s="1146"/>
    </row>
    <row r="8" spans="1:7">
      <c r="G8" s="1146"/>
    </row>
    <row r="9" spans="1:7">
      <c r="A9" s="1150" t="s">
        <v>768</v>
      </c>
      <c r="B9" s="1145" t="s">
        <v>780</v>
      </c>
    </row>
    <row r="11" spans="1:7">
      <c r="A11" s="1151" t="s">
        <v>769</v>
      </c>
      <c r="B11" s="1152" t="s">
        <v>766</v>
      </c>
    </row>
    <row r="13" spans="1:7">
      <c r="A13" s="1153" t="s">
        <v>781</v>
      </c>
    </row>
    <row r="15" spans="1:7" ht="13.5">
      <c r="A15" s="3460" t="s">
        <v>782</v>
      </c>
      <c r="B15" s="3455" t="s">
        <v>1480</v>
      </c>
      <c r="C15" s="3456"/>
    </row>
    <row r="16" spans="1:7" ht="13.5">
      <c r="A16" s="3461"/>
      <c r="B16" s="3455" t="s">
        <v>754</v>
      </c>
      <c r="C16" s="3456"/>
    </row>
    <row r="17" spans="1:3" ht="13.5">
      <c r="A17" s="3461"/>
      <c r="B17" s="3458" t="s">
        <v>783</v>
      </c>
      <c r="C17" s="1154" t="s">
        <v>782</v>
      </c>
    </row>
    <row r="18" spans="1:3" ht="13.5">
      <c r="A18" s="3461"/>
      <c r="B18" s="3458"/>
      <c r="C18" s="1154" t="s">
        <v>784</v>
      </c>
    </row>
    <row r="19" spans="1:3" ht="13.5">
      <c r="A19" s="3461"/>
      <c r="B19" s="3458"/>
      <c r="C19" s="1154" t="s">
        <v>785</v>
      </c>
    </row>
    <row r="20" spans="1:3" ht="13.5">
      <c r="A20" s="3462"/>
      <c r="B20" s="3457" t="s">
        <v>786</v>
      </c>
      <c r="C20" s="3456"/>
    </row>
    <row r="21" spans="1:3" ht="13.5">
      <c r="A21" s="1155" t="s">
        <v>787</v>
      </c>
      <c r="B21" s="1156"/>
      <c r="C21" s="1157"/>
    </row>
    <row r="22" spans="1:3" ht="13.5">
      <c r="A22" s="3459" t="s">
        <v>788</v>
      </c>
      <c r="B22" s="3457" t="s">
        <v>789</v>
      </c>
      <c r="C22" s="3456"/>
    </row>
    <row r="23" spans="1:3" ht="13.5">
      <c r="A23" s="3459"/>
      <c r="B23" s="3457" t="s">
        <v>790</v>
      </c>
      <c r="C23" s="3456"/>
    </row>
    <row r="24" spans="1:3" ht="13.5">
      <c r="A24" s="3459"/>
      <c r="B24" s="3457" t="s">
        <v>791</v>
      </c>
      <c r="C24" s="3456"/>
    </row>
    <row r="25" spans="1:3" ht="13.5">
      <c r="A25" s="3459"/>
      <c r="B25" s="3458" t="s">
        <v>792</v>
      </c>
      <c r="C25" s="1154" t="s">
        <v>793</v>
      </c>
    </row>
    <row r="26" spans="1:3" ht="13.5">
      <c r="A26" s="3459"/>
      <c r="B26" s="3458"/>
      <c r="C26" s="1154" t="s">
        <v>794</v>
      </c>
    </row>
    <row r="27" spans="1:3" ht="13.5">
      <c r="A27" s="3459"/>
      <c r="B27" s="3458"/>
      <c r="C27" s="1154" t="s">
        <v>795</v>
      </c>
    </row>
    <row r="28" spans="1:3" ht="13.5">
      <c r="A28" s="3459"/>
      <c r="B28" s="3458"/>
      <c r="C28" s="1154" t="s">
        <v>796</v>
      </c>
    </row>
    <row r="29" spans="1:3" ht="13.5">
      <c r="A29" s="3459"/>
      <c r="B29" s="3458"/>
      <c r="C29" s="1154" t="s">
        <v>797</v>
      </c>
    </row>
    <row r="30" spans="1:3" ht="13.5">
      <c r="A30" s="3459"/>
      <c r="B30" s="3458"/>
      <c r="C30" s="1154" t="s">
        <v>798</v>
      </c>
    </row>
    <row r="31" spans="1:3" ht="13.5">
      <c r="A31" s="3459"/>
      <c r="B31" s="3458"/>
      <c r="C31" s="1154" t="s">
        <v>799</v>
      </c>
    </row>
    <row r="32" spans="1:3" ht="13.5">
      <c r="A32" s="3459"/>
      <c r="B32" s="3458"/>
      <c r="C32" s="1154" t="s">
        <v>800</v>
      </c>
    </row>
    <row r="33" spans="1:3" ht="13.5">
      <c r="A33" s="3459"/>
      <c r="B33" s="3458"/>
      <c r="C33" s="1154" t="s">
        <v>801</v>
      </c>
    </row>
    <row r="34" spans="1:3">
      <c r="A34" s="1158" t="s">
        <v>770</v>
      </c>
    </row>
    <row r="37" spans="1:3">
      <c r="A37" s="1158" t="s">
        <v>802</v>
      </c>
    </row>
    <row r="38" spans="1:3" ht="13.5">
      <c r="A38" s="1159" t="s">
        <v>771</v>
      </c>
    </row>
    <row r="39" spans="1:3" ht="13.5">
      <c r="A39" s="1159" t="s">
        <v>772</v>
      </c>
    </row>
    <row r="40" spans="1:3" ht="13.5">
      <c r="A40" s="1159" t="s">
        <v>773</v>
      </c>
    </row>
    <row r="41" spans="1:3" ht="13.5">
      <c r="A41" s="1160" t="s">
        <v>774</v>
      </c>
    </row>
    <row r="42" spans="1:3" ht="13.5">
      <c r="A42" s="1159"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3" sqref="B13"/>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2321</v>
      </c>
      <c r="B2" s="1914">
        <f ca="1">TODAY()</f>
        <v>42957</v>
      </c>
      <c r="C2" s="1915" t="s">
        <v>2322</v>
      </c>
      <c r="D2" s="1915"/>
    </row>
    <row r="3" spans="1:6" ht="24" customHeight="1">
      <c r="A3" s="1916" t="s">
        <v>2323</v>
      </c>
      <c r="B3" s="1917" t="s">
        <v>2324</v>
      </c>
      <c r="C3" s="1917" t="s">
        <v>2325</v>
      </c>
      <c r="D3" s="1918" t="s">
        <v>2326</v>
      </c>
      <c r="E3" s="1919" t="s">
        <v>2327</v>
      </c>
      <c r="F3" s="1917" t="s">
        <v>2325</v>
      </c>
    </row>
    <row r="4" spans="1:6" ht="24" customHeight="1">
      <c r="A4" s="3247" t="s">
        <v>2328</v>
      </c>
      <c r="B4" s="1919">
        <f ca="1">IF(C4&lt;B2,"已过期",1119970066)</f>
        <v>1119970066</v>
      </c>
      <c r="C4" s="3248">
        <v>43849</v>
      </c>
      <c r="D4" s="3247" t="s">
        <v>2328</v>
      </c>
      <c r="E4" s="1919">
        <f ca="1">IF(F4&lt;B2,"已过期",96010014)</f>
        <v>96010014</v>
      </c>
      <c r="F4" s="1928">
        <v>47118</v>
      </c>
    </row>
    <row r="5" spans="1:6" ht="24" customHeight="1">
      <c r="A5" s="3247" t="s">
        <v>2329</v>
      </c>
      <c r="B5" s="1919">
        <f ca="1">IF(C5&lt;B2,"已过期",1119970074)</f>
        <v>1119970074</v>
      </c>
      <c r="C5" s="3248">
        <v>43849</v>
      </c>
      <c r="D5" s="3247" t="s">
        <v>2329</v>
      </c>
      <c r="E5" s="1919">
        <f ca="1">IF(F5&lt;B2,"已过期",2002110027)</f>
        <v>2002110027</v>
      </c>
      <c r="F5" s="1928">
        <v>46752</v>
      </c>
    </row>
    <row r="6" spans="1:6" ht="24" customHeight="1">
      <c r="A6" s="3247" t="s">
        <v>2330</v>
      </c>
      <c r="B6" s="1919">
        <f ca="1">IF(C6&lt;B2,"已过期",1119970111)</f>
        <v>1119970111</v>
      </c>
      <c r="C6" s="3248">
        <v>43849</v>
      </c>
      <c r="D6" s="3247" t="s">
        <v>2330</v>
      </c>
      <c r="E6" s="1919">
        <f ca="1">IF(F6&lt;B2,"已过期",94010078)</f>
        <v>94010078</v>
      </c>
      <c r="F6" s="1928">
        <v>46387</v>
      </c>
    </row>
    <row r="7" spans="1:6" ht="24" customHeight="1">
      <c r="A7" s="3247" t="s">
        <v>2331</v>
      </c>
      <c r="B7" s="1919">
        <f ca="1">IF(C7&lt;B2,"已过期",1120050019)</f>
        <v>1120050019</v>
      </c>
      <c r="C7" s="3248">
        <v>43359</v>
      </c>
      <c r="D7" s="3247" t="s">
        <v>2331</v>
      </c>
      <c r="E7" s="1919">
        <f ca="1">IF(F7&lt;B2,"已过期",2002110030)</f>
        <v>2002110030</v>
      </c>
      <c r="F7" s="1928">
        <v>46387</v>
      </c>
    </row>
    <row r="8" spans="1:6" ht="24" customHeight="1">
      <c r="A8" s="3247" t="s">
        <v>2332</v>
      </c>
      <c r="B8" s="1919">
        <f ca="1">IF(C8&lt;B2,"已过期",1120000080)</f>
        <v>1120000080</v>
      </c>
      <c r="C8" s="3248">
        <v>43849</v>
      </c>
      <c r="D8" s="3247" t="s">
        <v>2332</v>
      </c>
      <c r="E8" s="1919">
        <f ca="1">IF(F8&lt;B2,"已过期",2000110082)</f>
        <v>2000110082</v>
      </c>
      <c r="F8" s="1928">
        <v>46387</v>
      </c>
    </row>
    <row r="9" spans="1:6" ht="24" customHeight="1">
      <c r="A9" s="3247" t="s">
        <v>2333</v>
      </c>
      <c r="B9" s="1919">
        <f ca="1">IF(C9&lt;B2,"已过期",1419970001)</f>
        <v>1419970001</v>
      </c>
      <c r="C9" s="3248">
        <v>43867</v>
      </c>
      <c r="D9" s="3247" t="s">
        <v>2333</v>
      </c>
      <c r="E9" s="1919">
        <f ca="1">IF(F9&lt;B2,"已过期",2002110125)</f>
        <v>2002110125</v>
      </c>
      <c r="F9" s="1928">
        <v>47118</v>
      </c>
    </row>
    <row r="10" spans="1:6" ht="24" customHeight="1">
      <c r="A10" s="3247" t="s">
        <v>2334</v>
      </c>
      <c r="B10" s="1919">
        <f ca="1">IF(C10&lt;B2,"已过期",1120060040)</f>
        <v>1120060040</v>
      </c>
      <c r="C10" s="3248">
        <v>43483</v>
      </c>
      <c r="D10" s="3247" t="s">
        <v>2334</v>
      </c>
      <c r="E10" s="1919">
        <f ca="1">IF(F10&lt;B2,"已过期",2004110096)</f>
        <v>2004110096</v>
      </c>
      <c r="F10" s="1928">
        <v>47118</v>
      </c>
    </row>
    <row r="11" spans="1:6" ht="24" customHeight="1">
      <c r="A11" s="3247" t="s">
        <v>2335</v>
      </c>
      <c r="B11" s="1919">
        <f ca="1">IF(C11&lt;B2,"已过期",1120100036)</f>
        <v>1120100036</v>
      </c>
      <c r="C11" s="3248">
        <v>43622</v>
      </c>
      <c r="D11" s="3247" t="s">
        <v>2335</v>
      </c>
      <c r="E11" s="1919">
        <f ca="1">IF(F11&lt;B2,"已过期",2010110070)</f>
        <v>2010110070</v>
      </c>
      <c r="F11" s="1928">
        <v>47907</v>
      </c>
    </row>
    <row r="12" spans="1:6" ht="24" customHeight="1">
      <c r="A12" s="3247"/>
      <c r="B12" s="1919"/>
      <c r="C12" s="3248"/>
      <c r="D12" s="3247"/>
      <c r="E12" s="1919"/>
      <c r="F12" s="1919"/>
    </row>
    <row r="13" spans="1:6" ht="24" customHeight="1">
      <c r="A13" s="3247" t="s">
        <v>2336</v>
      </c>
      <c r="B13" s="1919">
        <f ca="1">IF(C13&lt;B2,"已过期",1120070131)</f>
        <v>1120070131</v>
      </c>
      <c r="C13" s="3248">
        <v>43814</v>
      </c>
      <c r="D13" s="3247" t="s">
        <v>2336</v>
      </c>
      <c r="E13" s="1919">
        <v>2014110011</v>
      </c>
      <c r="F13" s="1928">
        <v>49302</v>
      </c>
    </row>
    <row r="14" spans="1:6" ht="24" customHeight="1">
      <c r="A14" s="3247" t="s">
        <v>2337</v>
      </c>
      <c r="B14" s="1919">
        <f ca="1">IF(C14&lt;B2,"已过期",1120130020)</f>
        <v>1120130020</v>
      </c>
      <c r="C14" s="3248">
        <v>43622</v>
      </c>
      <c r="D14" s="3247"/>
      <c r="E14" s="1919"/>
      <c r="F14" s="1919"/>
    </row>
    <row r="15" spans="1:6" ht="24" customHeight="1">
      <c r="A15" s="3249" t="s">
        <v>3109</v>
      </c>
      <c r="B15" s="1919">
        <v>1120070085</v>
      </c>
      <c r="C15" s="3248">
        <v>43814</v>
      </c>
      <c r="D15" s="3249" t="s">
        <v>3109</v>
      </c>
      <c r="E15" s="1919">
        <v>2004110128</v>
      </c>
      <c r="F15" s="1920">
        <v>47118</v>
      </c>
    </row>
    <row r="16" spans="1:6" ht="24" customHeight="1">
      <c r="A16" s="3247" t="s">
        <v>2338</v>
      </c>
      <c r="B16" s="1919">
        <f ca="1">IF(C16&lt;B2,"已过期",1120140022)</f>
        <v>1120140022</v>
      </c>
      <c r="C16" s="3248">
        <v>42987</v>
      </c>
      <c r="D16" s="3247" t="s">
        <v>2338</v>
      </c>
      <c r="E16" s="1919">
        <f ca="1">IF(F16&lt;B2,"已过期",2008110059)</f>
        <v>2008110059</v>
      </c>
      <c r="F16" s="1928">
        <v>47177</v>
      </c>
    </row>
    <row r="17" spans="1:7" ht="24" customHeight="1">
      <c r="A17" s="3247" t="s">
        <v>2339</v>
      </c>
      <c r="B17" s="1919">
        <f ca="1">IF(C17&lt;B2,"已过期",1120140020)</f>
        <v>1120140020</v>
      </c>
      <c r="C17" s="3248">
        <v>42987</v>
      </c>
      <c r="D17" s="3247"/>
      <c r="E17" s="1919"/>
      <c r="F17" s="1928"/>
    </row>
    <row r="18" spans="1:7" ht="24" customHeight="1">
      <c r="A18" s="3247" t="s">
        <v>2340</v>
      </c>
      <c r="B18" s="1919">
        <f ca="1">IF(C18&lt;B2,"已过期",1120140024)</f>
        <v>1120140024</v>
      </c>
      <c r="C18" s="3248">
        <v>42987</v>
      </c>
      <c r="D18" s="3247" t="s">
        <v>2340</v>
      </c>
      <c r="E18" s="1919">
        <f ca="1">IF(F18&lt;B2,"已过期",2011110048)</f>
        <v>2011110048</v>
      </c>
      <c r="F18" s="1928">
        <v>48302</v>
      </c>
    </row>
    <row r="19" spans="1:7" ht="24" customHeight="1">
      <c r="A19" s="3247" t="s">
        <v>2341</v>
      </c>
      <c r="B19" s="1919">
        <f ca="1">IF(C19&lt;B2,"已过期",1120140019)</f>
        <v>1120140019</v>
      </c>
      <c r="C19" s="3248">
        <v>42987</v>
      </c>
      <c r="D19" s="3247"/>
      <c r="E19" s="1919"/>
      <c r="F19" s="1919"/>
    </row>
    <row r="20" spans="1:7" ht="24" customHeight="1">
      <c r="A20" s="3247" t="s">
        <v>2342</v>
      </c>
      <c r="B20" s="1919">
        <f ca="1">IF(C20&lt;B2,"已过期",1120140023)</f>
        <v>1120140023</v>
      </c>
      <c r="C20" s="3248">
        <v>42987</v>
      </c>
      <c r="D20" s="3247"/>
      <c r="E20" s="1919"/>
      <c r="F20" s="1919"/>
    </row>
    <row r="21" spans="1:7" ht="24" customHeight="1">
      <c r="A21" s="3247"/>
      <c r="B21" s="1919"/>
      <c r="C21" s="3248"/>
      <c r="D21" s="3247" t="s">
        <v>2343</v>
      </c>
      <c r="E21" s="1919">
        <f ca="1">IF(F21&lt;B2,"已过期",2011110090)</f>
        <v>2011110090</v>
      </c>
      <c r="F21" s="1928">
        <v>48302</v>
      </c>
    </row>
    <row r="22" spans="1:7" ht="24" customHeight="1">
      <c r="A22" s="3247" t="s">
        <v>2344</v>
      </c>
      <c r="B22" s="1919">
        <f ca="1">IF(C22&lt;B2,"已过期",1120020033)</f>
        <v>1120020033</v>
      </c>
      <c r="C22" s="3248">
        <v>43304</v>
      </c>
      <c r="D22" s="3247" t="s">
        <v>2344</v>
      </c>
      <c r="E22" s="1919">
        <f ca="1">IF(F22&lt;B2,"已过期",2000110137)</f>
        <v>2000110137</v>
      </c>
      <c r="F22" s="1928">
        <v>46387</v>
      </c>
    </row>
    <row r="23" spans="1:7" ht="24" customHeight="1">
      <c r="A23" s="3247" t="s">
        <v>2345</v>
      </c>
      <c r="B23" s="1919">
        <f ca="1">IF(C23&lt;B2,"已过期",1120130048)</f>
        <v>1120130048</v>
      </c>
      <c r="C23" s="3248">
        <v>43686</v>
      </c>
      <c r="D23" s="3247"/>
      <c r="E23" s="1919"/>
      <c r="F23" s="1919"/>
    </row>
    <row r="24" spans="1:7" s="1921" customFormat="1" ht="24" customHeight="1">
      <c r="A24" s="3249" t="s">
        <v>3346</v>
      </c>
      <c r="B24" s="3249" t="s">
        <v>3346</v>
      </c>
      <c r="C24" s="3249" t="s">
        <v>3346</v>
      </c>
      <c r="D24" s="3249" t="s">
        <v>3346</v>
      </c>
      <c r="E24" s="3249" t="s">
        <v>3346</v>
      </c>
      <c r="F24" s="3249" t="s">
        <v>3346</v>
      </c>
    </row>
    <row r="25" spans="1:7" ht="24" customHeight="1">
      <c r="A25" s="3463" t="s">
        <v>2346</v>
      </c>
      <c r="B25" s="3463"/>
      <c r="C25" s="3463"/>
      <c r="D25" s="3463"/>
      <c r="E25" s="3463"/>
      <c r="F25" s="3463"/>
      <c r="G25" s="3463"/>
    </row>
    <row r="26" spans="1:7" s="1923" customFormat="1" ht="24" customHeight="1">
      <c r="A26" s="3464" t="s">
        <v>2347</v>
      </c>
      <c r="B26" s="3464"/>
      <c r="C26" s="3464"/>
      <c r="D26" s="1922"/>
      <c r="E26" s="3464" t="s">
        <v>2348</v>
      </c>
      <c r="F26" s="3464"/>
      <c r="G26" s="3464"/>
    </row>
    <row r="27" spans="1:7" s="1925" customFormat="1" ht="24" customHeight="1">
      <c r="A27" s="1924" t="s">
        <v>2349</v>
      </c>
      <c r="B27" s="1917" t="s">
        <v>2350</v>
      </c>
      <c r="C27" s="1917" t="s">
        <v>2351</v>
      </c>
      <c r="D27" s="1917"/>
      <c r="E27" s="1919" t="s">
        <v>2349</v>
      </c>
      <c r="F27" s="1917" t="s">
        <v>2350</v>
      </c>
      <c r="G27" s="1917" t="s">
        <v>2351</v>
      </c>
    </row>
    <row r="28" spans="1:7" s="1925" customFormat="1" ht="24" customHeight="1">
      <c r="A28" s="1926" t="s">
        <v>2352</v>
      </c>
      <c r="B28" s="1927" t="s">
        <v>2353</v>
      </c>
      <c r="C28" s="1928">
        <v>43725</v>
      </c>
      <c r="D28" s="1928"/>
      <c r="E28" s="1926" t="s">
        <v>2354</v>
      </c>
      <c r="F28" s="1926" t="s">
        <v>2355</v>
      </c>
      <c r="G28" s="2137">
        <v>44377</v>
      </c>
    </row>
    <row r="29" spans="1:7" s="1925" customFormat="1" ht="24" customHeight="1">
      <c r="A29" s="1926"/>
      <c r="B29" s="1926"/>
      <c r="C29" s="1929"/>
      <c r="D29" s="1929"/>
      <c r="E29" s="1926" t="s">
        <v>2356</v>
      </c>
      <c r="F29" s="2466" t="s">
        <v>2752</v>
      </c>
      <c r="G29" s="2467">
        <v>42916</v>
      </c>
    </row>
    <row r="30" spans="1:7" ht="24" customHeight="1">
      <c r="C30" s="1930"/>
      <c r="D30" s="1930"/>
    </row>
  </sheetData>
  <sheetProtection sheet="1" objects="1" scenarios="1"/>
  <mergeCells count="3">
    <mergeCell ref="A25:G25"/>
    <mergeCell ref="A26:C26"/>
    <mergeCell ref="E26:G26"/>
  </mergeCells>
  <phoneticPr fontId="117" type="noConversion"/>
  <conditionalFormatting sqref="C28:D28">
    <cfRule type="expression" dxfId="230" priority="55">
      <formula>AND($C28-TODAY()&lt;30,TODAY()&lt;$C28)</formula>
    </cfRule>
  </conditionalFormatting>
  <conditionalFormatting sqref="C28:D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G28">
    <cfRule type="expression" dxfId="194" priority="12">
      <formula>AND($F28-TODAY()&lt;30,TODAY()&lt;$F28)</formula>
    </cfRule>
  </conditionalFormatting>
  <conditionalFormatting sqref="G28">
    <cfRule type="cellIs" dxfId="193" priority="13" stopIfTrue="1" operator="lessThan">
      <formula>$B$2</formula>
    </cfRule>
  </conditionalFormatting>
  <conditionalFormatting sqref="G29">
    <cfRule type="expression" dxfId="192" priority="8" stopIfTrue="1">
      <formula>AND($F29-TODAY()&lt;30,TODAY()&lt;$F29)</formula>
    </cfRule>
  </conditionalFormatting>
  <conditionalFormatting sqref="G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收益法（商业）</vt:lpstr>
      <vt:lpstr>收益法（车位)</vt:lpstr>
      <vt:lpstr>收益法（底商)</vt:lpstr>
      <vt:lpstr>收益法（住宅车位)</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(办公)'!Print_Area</vt:lpstr>
      <vt:lpstr>'收益法 (车位)'!Print_Area</vt:lpstr>
      <vt:lpstr>'收益法 (元)'!Print_Area</vt:lpstr>
      <vt:lpstr>'收益法（车位)'!Print_Area</vt:lpstr>
      <vt:lpstr>'收益法（底商)'!Print_Area</vt:lpstr>
      <vt:lpstr>'收益法（商业）'!Print_Area</vt:lpstr>
      <vt:lpstr>'收益法（住宅车位)'!Print_Area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2017-07-05T02:13:01Z</cp:lastPrinted>
  <dcterms:created xsi:type="dcterms:W3CDTF">2015-07-13T07:17:23Z</dcterms:created>
  <dcterms:modified xsi:type="dcterms:W3CDTF">2017-08-10T05:54:29Z</dcterms:modified>
</cp:coreProperties>
</file>