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10" windowHeight="103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2" sheetId="81" r:id="rId48"/>
    <sheet name="住宅案例" sheetId="83"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7" i="74" l="1"/>
  <c r="B16" i="74"/>
  <c r="B15" i="74"/>
  <c r="C14" i="74"/>
  <c r="B14" i="74"/>
  <c r="E33" i="80"/>
  <c r="I33" i="80"/>
  <c r="H33" i="80"/>
  <c r="F33" i="80"/>
  <c r="D17" i="74" l="1"/>
  <c r="G17" i="74" s="1"/>
  <c r="D16" i="74" l="1"/>
  <c r="G16" i="74" s="1"/>
  <c r="D15" i="74"/>
  <c r="G15" i="74" l="1"/>
  <c r="I5" i="21" l="1"/>
  <c r="G5" i="21"/>
  <c r="E5" i="21"/>
  <c r="I38" i="39"/>
  <c r="G38" i="39"/>
  <c r="E38" i="39"/>
  <c r="C38" i="39"/>
  <c r="I11" i="39"/>
  <c r="G11" i="39"/>
  <c r="E11" i="39"/>
  <c r="M28" i="1"/>
  <c r="M26" i="1"/>
  <c r="M25" i="1"/>
  <c r="I7" i="39"/>
  <c r="G7" i="39"/>
  <c r="E7" i="39"/>
  <c r="I5" i="39"/>
  <c r="G5" i="39"/>
  <c r="E5" i="39"/>
  <c r="AN14" i="3" l="1"/>
  <c r="AN13" i="3"/>
  <c r="M14" i="3"/>
  <c r="I13" i="3"/>
  <c r="F19" i="6" s="1"/>
  <c r="K14" i="3"/>
  <c r="E25" i="80"/>
  <c r="E26" i="80"/>
  <c r="E27" i="80"/>
  <c r="E28" i="80"/>
  <c r="E29" i="80"/>
  <c r="E30" i="80"/>
  <c r="E31" i="80"/>
  <c r="E32" i="80"/>
  <c r="E24" i="80"/>
  <c r="I14" i="3"/>
  <c r="G33" i="80"/>
  <c r="M13" i="3"/>
  <c r="G20" i="6" s="1"/>
  <c r="H32" i="80"/>
  <c r="J31" i="80"/>
  <c r="F20" i="80"/>
  <c r="G20" i="80"/>
  <c r="H20" i="80"/>
  <c r="I20" i="80"/>
  <c r="E6" i="80"/>
  <c r="E7" i="80"/>
  <c r="E8" i="80"/>
  <c r="E9" i="80"/>
  <c r="E10" i="80"/>
  <c r="E11" i="80"/>
  <c r="E12" i="80"/>
  <c r="E13" i="80"/>
  <c r="E14" i="80"/>
  <c r="E15" i="80"/>
  <c r="E16" i="80"/>
  <c r="E17" i="80"/>
  <c r="E18" i="80"/>
  <c r="E19" i="80"/>
  <c r="E5" i="80"/>
  <c r="I19" i="80"/>
  <c r="H19" i="80"/>
  <c r="E20" i="80"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P65" i="71"/>
  <c r="P66" i="71"/>
  <c r="O66" i="71"/>
  <c r="O65" i="71"/>
  <c r="D32" i="71"/>
  <c r="D40"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D83" i="21"/>
  <c r="E83" i="21" s="1"/>
  <c r="F83" i="21" s="1"/>
  <c r="G83" i="21" s="1"/>
  <c r="F21" i="21"/>
  <c r="AA21" i="21" s="1"/>
  <c r="D81" i="21"/>
  <c r="G20" i="20"/>
  <c r="B88" i="43" s="1"/>
  <c r="C22" i="20"/>
  <c r="B100" i="43" s="1"/>
  <c r="B57" i="43"/>
  <c r="C25" i="40"/>
  <c r="S25" i="40"/>
  <c r="S18" i="36"/>
  <c r="U18" i="36"/>
  <c r="F94" i="40"/>
  <c r="H25" i="40"/>
  <c r="G94" i="40"/>
  <c r="J25" i="40"/>
  <c r="H29" i="39"/>
  <c r="AB29" i="39" s="1"/>
  <c r="J29" i="39"/>
  <c r="AC29" i="39" s="1"/>
  <c r="J18" i="36"/>
  <c r="H18" i="35"/>
  <c r="S18" i="35"/>
  <c r="J18" i="35"/>
  <c r="W18" i="35" s="1"/>
  <c r="H21" i="37"/>
  <c r="U21" i="37" s="1"/>
  <c r="F21" i="37"/>
  <c r="H21" i="34"/>
  <c r="F83" i="33"/>
  <c r="H21" i="33"/>
  <c r="F21" i="33"/>
  <c r="S21" i="33" s="1"/>
  <c r="H1" i="69"/>
  <c r="AC25" i="40"/>
  <c r="W25" i="40"/>
  <c r="AB25" i="40"/>
  <c r="U25" i="40"/>
  <c r="U29" i="39"/>
  <c r="W29" i="39"/>
  <c r="AC18" i="36"/>
  <c r="W18" i="36"/>
  <c r="AB21" i="37"/>
  <c r="AA21" i="37"/>
  <c r="S21" i="37"/>
  <c r="AB21" i="34"/>
  <c r="U21" i="34"/>
  <c r="U21" i="33"/>
  <c r="AB21" i="33"/>
  <c r="AA21" i="33"/>
  <c r="AB18" i="35"/>
  <c r="U18" i="35"/>
  <c r="AC18" i="35"/>
  <c r="J21" i="37"/>
  <c r="J21" i="34"/>
  <c r="G83" i="33"/>
  <c r="J21" i="33"/>
  <c r="H21" i="21"/>
  <c r="U21" i="21" s="1"/>
  <c r="F38" i="69"/>
  <c r="E37" i="69"/>
  <c r="F36" i="69"/>
  <c r="F35" i="69"/>
  <c r="F21" i="69"/>
  <c r="F40" i="69" s="1"/>
  <c r="F20" i="69"/>
  <c r="F39" i="69" s="1"/>
  <c r="E10" i="69"/>
  <c r="E9" i="69"/>
  <c r="C7" i="69"/>
  <c r="AC21" i="37"/>
  <c r="W21" i="37"/>
  <c r="AC21" i="34"/>
  <c r="W21" i="34"/>
  <c r="AC21" i="33"/>
  <c r="W21" i="33"/>
  <c r="AB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L14"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E5"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AC17" i="39" s="1"/>
  <c r="J27" i="39"/>
  <c r="AC27" i="39" s="1"/>
  <c r="F27" i="39"/>
  <c r="AA27" i="39" s="1"/>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W44" i="21"/>
  <c r="U26" i="21"/>
  <c r="AC46" i="21"/>
  <c r="U12"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AC35" i="21"/>
  <c r="G8" i="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F20" i="36"/>
  <c r="AA20" i="36" s="1"/>
  <c r="J33" i="34"/>
  <c r="AC33" i="34" s="1"/>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AB27" i="39"/>
  <c r="U31" i="39"/>
  <c r="J21" i="39"/>
  <c r="W21" i="39" s="1"/>
  <c r="F21" i="39"/>
  <c r="AA21" i="39" s="1"/>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6" i="21"/>
  <c r="AC40" i="21"/>
  <c r="F77" i="21"/>
  <c r="F15" i="21" s="1"/>
  <c r="S15" i="21" s="1"/>
  <c r="E85" i="21"/>
  <c r="F23" i="21" s="1"/>
  <c r="AA14" i="21"/>
  <c r="D120" i="9"/>
  <c r="D121" i="9" s="1"/>
  <c r="D7" i="52" s="1"/>
  <c r="C18" i="9"/>
  <c r="D18" i="9" s="1"/>
  <c r="F34" i="67"/>
  <c r="F62" i="67" s="1"/>
  <c r="M20" i="67"/>
  <c r="F34" i="15"/>
  <c r="F62" i="15" s="1"/>
  <c r="G13" i="3"/>
  <c r="BL17" i="3"/>
  <c r="AZ17" i="3"/>
  <c r="BL13" i="3"/>
  <c r="J56" i="9"/>
  <c r="J57" i="9" s="1"/>
  <c r="J59" i="9" s="1"/>
  <c r="J61" i="9" s="1"/>
  <c r="A24" i="51"/>
  <c r="B18" i="72"/>
  <c r="U29" i="34"/>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U13" i="39"/>
  <c r="AB13" i="39"/>
  <c r="AA13" i="39"/>
  <c r="S13" i="39"/>
  <c r="S14" i="39"/>
  <c r="AA14" i="39"/>
  <c r="U43" i="39"/>
  <c r="AB43" i="39"/>
  <c r="S27" i="39"/>
  <c r="W17" i="39"/>
  <c r="AC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AC17" i="21"/>
  <c r="AC14" i="21"/>
  <c r="W30" i="21"/>
  <c r="S46" i="21"/>
  <c r="H45" i="21"/>
  <c r="U45" i="21" s="1"/>
  <c r="F29" i="21"/>
  <c r="S29" i="21" s="1"/>
  <c r="F13" i="21"/>
  <c r="AA13" i="21" s="1"/>
  <c r="H32" i="21"/>
  <c r="U32" i="21" s="1"/>
  <c r="H9" i="21"/>
  <c r="U9" i="21" s="1"/>
  <c r="J9" i="21"/>
  <c r="J32" i="21"/>
  <c r="W32" i="21" s="1"/>
  <c r="F32" i="21"/>
  <c r="AA31" i="21"/>
  <c r="U17" i="21"/>
  <c r="W29" i="21"/>
  <c r="K141" i="21"/>
  <c r="K144" i="21"/>
  <c r="K143" i="21"/>
  <c r="U27" i="21"/>
  <c r="AB25" i="21"/>
  <c r="AB44" i="21"/>
  <c r="AA30" i="21"/>
  <c r="W13" i="21"/>
  <c r="AC45" i="21"/>
  <c r="F10" i="21"/>
  <c r="AA10" i="21" s="1"/>
  <c r="K145" i="21"/>
  <c r="W17" i="21"/>
  <c r="W25" i="21"/>
  <c r="AA29" i="21"/>
  <c r="W31" i="21"/>
  <c r="S27" i="21"/>
  <c r="AC27" i="21"/>
  <c r="AC26" i="21"/>
  <c r="AB29" i="21"/>
  <c r="S28" i="21"/>
  <c r="AC34" i="21"/>
  <c r="W12"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J23" i="21"/>
  <c r="AC23" i="21" s="1"/>
  <c r="F85" i="21"/>
  <c r="G85" i="21" s="1"/>
  <c r="H23" i="21"/>
  <c r="U23" i="21" s="1"/>
  <c r="S13" i="21"/>
  <c r="D6" i="52"/>
  <c r="AP7" i="1"/>
  <c r="AB45" i="21"/>
  <c r="AB9" i="21"/>
  <c r="AA32" i="21"/>
  <c r="S32" i="21"/>
  <c r="W9" i="21"/>
  <c r="AC9" i="21"/>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15"/>
  <c r="E12" i="76"/>
  <c r="E10" i="76"/>
  <c r="F43" i="67"/>
  <c r="F13" i="67"/>
  <c r="F26" i="67"/>
  <c r="F6" i="73"/>
  <c r="F13" i="15"/>
  <c r="B13" i="76"/>
  <c r="D5" i="73"/>
  <c r="M22" i="67"/>
  <c r="L47" i="15"/>
  <c r="M9" i="67"/>
  <c r="M23" i="67"/>
  <c r="F3" i="73"/>
  <c r="F6" i="15"/>
  <c r="F37" i="67"/>
  <c r="F9" i="67"/>
  <c r="M28" i="67"/>
  <c r="F42" i="15"/>
  <c r="M23" i="15"/>
  <c r="B12" i="76"/>
  <c r="D3" i="73"/>
  <c r="E2" i="69"/>
  <c r="B10" i="76"/>
  <c r="J15" i="15"/>
  <c r="F7" i="67"/>
  <c r="F36" i="15"/>
  <c r="F20" i="31"/>
  <c r="F38" i="15"/>
  <c r="F38" i="67"/>
  <c r="D6" i="73"/>
  <c r="F40" i="67"/>
  <c r="F7" i="73"/>
  <c r="F26" i="15"/>
  <c r="M24" i="15"/>
  <c r="E2" i="68"/>
  <c r="F16" i="67"/>
  <c r="B9" i="76"/>
  <c r="M8" i="67"/>
  <c r="C76" i="15"/>
  <c r="M24" i="67"/>
  <c r="F37" i="15"/>
  <c r="M29" i="15"/>
  <c r="M9" i="15"/>
  <c r="B7" i="76"/>
  <c r="E11" i="76"/>
  <c r="E13" i="76"/>
  <c r="E8" i="76"/>
  <c r="M26" i="15"/>
  <c r="B11" i="76"/>
  <c r="L47" i="67"/>
  <c r="AO13" i="1"/>
  <c r="M6" i="15"/>
  <c r="M28" i="15"/>
  <c r="C76" i="67"/>
  <c r="F4" i="73"/>
  <c r="M8" i="15"/>
  <c r="F6" i="67"/>
  <c r="M26" i="67"/>
  <c r="F8" i="67"/>
  <c r="M22" i="15"/>
  <c r="F7" i="15"/>
  <c r="F8" i="15"/>
  <c r="F36" i="67"/>
  <c r="F16" i="15"/>
  <c r="L48" i="67"/>
  <c r="F9" i="15"/>
  <c r="E9" i="76"/>
  <c r="J15" i="67"/>
  <c r="M29" i="67"/>
  <c r="M6" i="67"/>
  <c r="D7" i="73"/>
  <c r="E7" i="76"/>
  <c r="F5" i="73"/>
  <c r="F42" i="67"/>
  <c r="F43" i="15"/>
  <c r="B8" i="76"/>
  <c r="I7" i="21" l="1"/>
  <c r="E7" i="21"/>
  <c r="G7" i="21"/>
  <c r="J51" i="15"/>
  <c r="BA13" i="3"/>
  <c r="S17" i="21"/>
  <c r="G77" i="21"/>
  <c r="J15" i="21"/>
  <c r="W15" i="21" s="1"/>
  <c r="W42" i="21"/>
  <c r="AB42" i="21"/>
  <c r="W39" i="21"/>
  <c r="AC38" i="21"/>
  <c r="AA38" i="21"/>
  <c r="AB38" i="21"/>
  <c r="AB36" i="21"/>
  <c r="U35" i="21"/>
  <c r="AB32" i="21"/>
  <c r="AA23" i="21"/>
  <c r="S23" i="21"/>
  <c r="AB19" i="21"/>
  <c r="U19" i="21"/>
  <c r="AB23" i="21"/>
  <c r="S21" i="21"/>
  <c r="S19" i="21"/>
  <c r="AC19" i="21"/>
  <c r="AA15" i="21"/>
  <c r="AB15" i="21"/>
  <c r="AC15" i="21"/>
  <c r="S9" i="21"/>
  <c r="AC41" i="39"/>
  <c r="S21" i="39"/>
  <c r="U25" i="39"/>
  <c r="W34" i="39"/>
  <c r="AB34" i="39"/>
  <c r="S34" i="39"/>
  <c r="U32" i="39"/>
  <c r="AC25" i="39"/>
  <c r="W23" i="39"/>
  <c r="U21" i="39"/>
  <c r="D23" i="15"/>
  <c r="G26" i="12"/>
  <c r="G22" i="69"/>
  <c r="D19" i="53"/>
  <c r="B38" i="72" s="1"/>
  <c r="D16" i="53"/>
  <c r="B34" i="72" s="1"/>
  <c r="F7" i="1"/>
  <c r="G14" i="3"/>
  <c r="AZ14" i="3"/>
  <c r="AZ557" i="3"/>
  <c r="C16" i="71"/>
  <c r="D17" i="71"/>
  <c r="G28" i="6"/>
  <c r="F29" i="6"/>
  <c r="U43" i="33"/>
  <c r="AA41" i="34"/>
  <c r="U46" i="33"/>
  <c r="AA13" i="35"/>
  <c r="AC9" i="34"/>
  <c r="W9" i="34"/>
  <c r="E15" i="71"/>
  <c r="E14" i="71" s="1"/>
  <c r="E13" i="71" s="1"/>
  <c r="E12" i="71" s="1"/>
  <c r="V16" i="71"/>
  <c r="D20" i="71"/>
  <c r="U20" i="71" s="1"/>
  <c r="T20" i="71"/>
  <c r="V20" i="71"/>
  <c r="G5" i="3"/>
  <c r="B3" i="3" s="1"/>
  <c r="E156" i="3" s="1"/>
  <c r="AA39" i="34"/>
  <c r="AA29" i="35"/>
  <c r="B73" i="43"/>
  <c r="B79" i="43"/>
  <c r="B76" i="43"/>
  <c r="B75" i="43"/>
  <c r="F9" i="34"/>
  <c r="AA9" i="34" s="1"/>
  <c r="H12" i="36"/>
  <c r="H24" i="36"/>
  <c r="J26" i="37"/>
  <c r="H26" i="37"/>
  <c r="F26" i="37"/>
  <c r="H44" i="39"/>
  <c r="F44" i="39"/>
  <c r="J39" i="40"/>
  <c r="H39" i="40"/>
  <c r="BA551" i="3"/>
  <c r="AZ551" i="3" s="1"/>
  <c r="AZ398" i="3"/>
  <c r="AZ405" i="3"/>
  <c r="AZ410" i="3"/>
  <c r="AZ415" i="3"/>
  <c r="AZ420" i="3"/>
  <c r="AZ426" i="3"/>
  <c r="AZ431" i="3"/>
  <c r="H23" i="35"/>
  <c r="J23" i="35"/>
  <c r="H25" i="37"/>
  <c r="J25" i="37"/>
  <c r="F25" i="37"/>
  <c r="F38" i="40"/>
  <c r="J38" i="40"/>
  <c r="H38" i="40"/>
  <c r="BL550" i="3"/>
  <c r="AZ550" i="3" s="1"/>
  <c r="AZ400" i="3"/>
  <c r="AZ424" i="3"/>
  <c r="AZ429" i="3"/>
  <c r="AZ439" i="3"/>
  <c r="AZ444" i="3"/>
  <c r="AZ448" i="3"/>
  <c r="AZ463" i="3"/>
  <c r="AZ474" i="3"/>
  <c r="AZ480" i="3"/>
  <c r="AZ486" i="3"/>
  <c r="AZ488" i="3"/>
  <c r="AZ397" i="3"/>
  <c r="AZ212" i="3"/>
  <c r="AZ217" i="3"/>
  <c r="AZ220" i="3"/>
  <c r="AZ228" i="3"/>
  <c r="AZ231" i="3"/>
  <c r="AZ244" i="3"/>
  <c r="AZ247" i="3"/>
  <c r="AZ260" i="3"/>
  <c r="AZ270" i="3"/>
  <c r="AZ274" i="3"/>
  <c r="AZ277" i="3"/>
  <c r="AZ284" i="3"/>
  <c r="AZ290" i="3"/>
  <c r="AZ293" i="3"/>
  <c r="AZ302" i="3"/>
  <c r="AZ113" i="3"/>
  <c r="AZ126" i="3"/>
  <c r="AZ129" i="3"/>
  <c r="AZ141" i="3"/>
  <c r="AZ205" i="3"/>
  <c r="AZ18" i="3"/>
  <c r="AZ23" i="3"/>
  <c r="AZ27" i="3"/>
  <c r="AZ52" i="3"/>
  <c r="AZ56" i="3"/>
  <c r="AZ68" i="3"/>
  <c r="AZ73" i="3"/>
  <c r="AZ87" i="3"/>
  <c r="AZ95" i="3"/>
  <c r="D35" i="71"/>
  <c r="C36" i="71"/>
  <c r="AZ96" i="3"/>
  <c r="AZ112" i="3"/>
  <c r="C43" i="71"/>
  <c r="D42" i="71"/>
  <c r="C47" i="71"/>
  <c r="D47" i="71" s="1"/>
  <c r="D46" i="71"/>
  <c r="S28" i="71"/>
  <c r="Y9" i="71"/>
  <c r="Z9" i="71" s="1"/>
  <c r="AA9" i="71"/>
  <c r="AB24" i="71"/>
  <c r="Y24" i="71"/>
  <c r="Z24" i="71" s="1"/>
  <c r="AB23" i="71"/>
  <c r="Y21" i="71"/>
  <c r="Z21" i="71" s="1"/>
  <c r="AA21" i="71"/>
  <c r="X21" i="71"/>
  <c r="X17" i="71"/>
  <c r="Y17" i="71"/>
  <c r="Z17" i="71" s="1"/>
  <c r="AA17" i="71"/>
  <c r="AB18" i="71"/>
  <c r="Y14" i="71"/>
  <c r="Z14" i="71" s="1"/>
  <c r="AB14" i="71"/>
  <c r="C21" i="68"/>
  <c r="C40" i="69"/>
  <c r="S21" i="34"/>
  <c r="C29" i="39"/>
  <c r="B68" i="43"/>
  <c r="B77" i="43"/>
  <c r="V28" i="71"/>
  <c r="X9" i="71"/>
  <c r="Y39" i="71"/>
  <c r="Z39" i="71" s="1"/>
  <c r="AA39" i="71"/>
  <c r="AB9" i="71"/>
  <c r="AB10" i="71"/>
  <c r="X24" i="71"/>
  <c r="AA24" i="71"/>
  <c r="AA23" i="71"/>
  <c r="AB21" i="71"/>
  <c r="Y18" i="71"/>
  <c r="Z18" i="71" s="1"/>
  <c r="X18" i="71"/>
  <c r="AA18" i="71"/>
  <c r="Y23" i="71"/>
  <c r="Z23" i="71" s="1"/>
  <c r="Y22" i="71"/>
  <c r="Z22" i="71" s="1"/>
  <c r="X22" i="71"/>
  <c r="AA22" i="71"/>
  <c r="X15" i="71"/>
  <c r="AA15" i="71"/>
  <c r="AA11" i="71"/>
  <c r="AA12" i="71"/>
  <c r="AA14" i="71"/>
  <c r="X10" i="71"/>
  <c r="X13" i="71"/>
  <c r="AB12" i="71"/>
  <c r="AB11" i="71"/>
  <c r="Y12" i="71"/>
  <c r="Z12" i="71" s="1"/>
  <c r="Y13" i="71"/>
  <c r="Z13" i="71" s="1"/>
  <c r="F67" i="71"/>
  <c r="AB15" i="71"/>
  <c r="AB17" i="71"/>
  <c r="AA10" i="71"/>
  <c r="AA13" i="71"/>
  <c r="X11" i="71"/>
  <c r="X12" i="71"/>
  <c r="X14" i="71"/>
  <c r="AB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N59" i="15"/>
  <c r="F66" i="15"/>
  <c r="Q71" i="67"/>
  <c r="F64" i="15"/>
  <c r="C27" i="67"/>
  <c r="F71" i="67"/>
  <c r="C27" i="15"/>
  <c r="F65" i="15"/>
  <c r="N59" i="67"/>
  <c r="L59" i="67"/>
  <c r="L58" i="67"/>
  <c r="B13" i="70"/>
  <c r="M7" i="67"/>
  <c r="J6" i="67" s="1"/>
  <c r="F50" i="67"/>
  <c r="F68" i="67"/>
  <c r="F64" i="67"/>
  <c r="F68" i="15"/>
  <c r="D9" i="69"/>
  <c r="C36" i="69"/>
  <c r="D9" i="68"/>
  <c r="L48" i="15"/>
  <c r="G1" i="73"/>
  <c r="C16" i="15"/>
  <c r="C16" i="67"/>
  <c r="D4" i="73"/>
  <c r="J57" i="15" l="1"/>
  <c r="J55" i="15" s="1"/>
  <c r="J58" i="15" s="1"/>
  <c r="Q50" i="15" s="1"/>
  <c r="L58" i="15"/>
  <c r="Q73" i="15" s="1"/>
  <c r="I54" i="15"/>
  <c r="H7" i="36"/>
  <c r="G7" i="1"/>
  <c r="G16" i="1" s="1"/>
  <c r="F10" i="39" s="1"/>
  <c r="K16" i="1"/>
  <c r="AM6" i="3"/>
  <c r="E576" i="3"/>
  <c r="E404" i="3"/>
  <c r="E496" i="3"/>
  <c r="E295" i="3"/>
  <c r="E443" i="3"/>
  <c r="E32" i="3"/>
  <c r="E330" i="3"/>
  <c r="E29" i="3"/>
  <c r="E317" i="3"/>
  <c r="E121" i="3"/>
  <c r="E581" i="3"/>
  <c r="E448" i="3"/>
  <c r="E252" i="3"/>
  <c r="E256" i="3"/>
  <c r="E424" i="3"/>
  <c r="E128" i="3"/>
  <c r="E441" i="3"/>
  <c r="E44" i="3"/>
  <c r="E384" i="3"/>
  <c r="E316" i="3"/>
  <c r="E166" i="3"/>
  <c r="E88" i="3"/>
  <c r="E444" i="3"/>
  <c r="E558" i="3"/>
  <c r="P6" i="3"/>
  <c r="AG6" i="3"/>
  <c r="E164" i="3"/>
  <c r="E236" i="3"/>
  <c r="E394" i="3"/>
  <c r="E73" i="3"/>
  <c r="AE6" i="3"/>
  <c r="E437" i="3"/>
  <c r="E120" i="3"/>
  <c r="E238"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T36" i="71"/>
  <c r="D36" i="71"/>
  <c r="AB38" i="40"/>
  <c r="U38" i="40"/>
  <c r="S38" i="40"/>
  <c r="AA38" i="40"/>
  <c r="AC25" i="37"/>
  <c r="W25" i="37"/>
  <c r="AC23" i="35"/>
  <c r="W23" i="35"/>
  <c r="U39" i="40"/>
  <c r="AB39" i="40"/>
  <c r="AA44" i="39"/>
  <c r="S44" i="39"/>
  <c r="AA26" i="37"/>
  <c r="S26" i="37"/>
  <c r="AC26" i="37"/>
  <c r="W26" i="37"/>
  <c r="U12" i="36"/>
  <c r="AB12"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22" i="3"/>
  <c r="E283" i="3"/>
  <c r="E323" i="3"/>
  <c r="E373" i="3"/>
  <c r="E82" i="3"/>
  <c r="E21" i="3"/>
  <c r="E250" i="3"/>
  <c r="E264" i="3"/>
  <c r="E309" i="3"/>
  <c r="E513" i="3"/>
  <c r="BA5" i="3"/>
  <c r="E27" i="6" s="1"/>
  <c r="K26" i="6" s="1"/>
  <c r="M26" i="6" s="1"/>
  <c r="I26" i="6" s="1"/>
  <c r="S26" i="6" s="1"/>
  <c r="C15" i="71"/>
  <c r="T16" i="71"/>
  <c r="D43" i="71"/>
  <c r="C44" i="71"/>
  <c r="AC38" i="40"/>
  <c r="W38" i="40"/>
  <c r="AA25" i="37"/>
  <c r="S25" i="37"/>
  <c r="U25" i="37"/>
  <c r="AB25" i="37"/>
  <c r="U23" i="35"/>
  <c r="AB23" i="35"/>
  <c r="W39" i="40"/>
  <c r="AC39" i="40"/>
  <c r="AB44" i="39"/>
  <c r="U44" i="39"/>
  <c r="AB26" i="37"/>
  <c r="U26" i="37"/>
  <c r="AB24" i="36"/>
  <c r="U24" i="36"/>
  <c r="BL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C33" i="21"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61" i="67"/>
  <c r="Q74" i="67"/>
  <c r="AE11" i="1"/>
  <c r="AE6" i="1"/>
  <c r="AE9" i="1"/>
  <c r="F27" i="68"/>
  <c r="AE8" i="1"/>
  <c r="AE12" i="1"/>
  <c r="AE10" i="1"/>
  <c r="F41" i="67"/>
  <c r="J33" i="21" l="1"/>
  <c r="F33" i="21"/>
  <c r="H33" i="21"/>
  <c r="AC6" i="3"/>
  <c r="H6" i="3"/>
  <c r="E65" i="39"/>
  <c r="D15" i="71"/>
  <c r="C14" i="71"/>
  <c r="T44" i="71"/>
  <c r="D4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E6" i="3" l="1"/>
  <c r="AA33" i="21"/>
  <c r="S33" i="21"/>
  <c r="AB33" i="21"/>
  <c r="U33" i="21"/>
  <c r="AC33" i="21"/>
  <c r="W33" i="2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66" i="67"/>
  <c r="C60" i="67"/>
  <c r="D10" i="69"/>
  <c r="C34" i="69"/>
  <c r="D10" i="68"/>
  <c r="C17" i="15"/>
  <c r="C14" i="67"/>
  <c r="C17" i="67"/>
  <c r="C24" i="11" l="1"/>
  <c r="B23" i="1"/>
  <c r="C25" i="11" s="1"/>
  <c r="B24" i="1"/>
  <c r="C29" i="11"/>
  <c r="D27" i="11" s="1"/>
  <c r="C29" i="68"/>
  <c r="D27" i="68" s="1"/>
  <c r="C28" i="11"/>
  <c r="C27"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F34" i="68" l="1"/>
  <c r="M59" i="67"/>
  <c r="J53" i="15"/>
  <c r="M59" i="15"/>
  <c r="L59" i="15" s="1"/>
  <c r="C29" i="12"/>
  <c r="D28" i="12" s="1"/>
  <c r="C26" i="12"/>
  <c r="D25" i="12" s="1"/>
  <c r="C23" i="11"/>
  <c r="C22" i="11" s="1"/>
  <c r="C26" i="11"/>
  <c r="D22" i="11" s="1"/>
  <c r="C26" i="68"/>
  <c r="D22" i="68" s="1"/>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1" i="21" l="1"/>
  <c r="C11" i="39"/>
  <c r="C37" i="68"/>
  <c r="L56" i="15"/>
  <c r="Q52" i="15"/>
  <c r="F1" i="15"/>
  <c r="C36" i="68"/>
  <c r="C34" i="68"/>
  <c r="Q61" i="15"/>
  <c r="Q74" i="15"/>
  <c r="C31" i="11"/>
  <c r="C18" i="12"/>
  <c r="C21" i="12" s="1"/>
  <c r="J7" i="21"/>
  <c r="W7" i="21"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S7" i="21"/>
  <c r="AA7" i="21"/>
  <c r="J63" i="40"/>
  <c r="I65" i="40"/>
  <c r="K48" i="35"/>
  <c r="L48" i="35" s="1"/>
  <c r="M48" i="35" s="1"/>
  <c r="N48" i="35" s="1"/>
  <c r="O48" i="35" s="1"/>
  <c r="H7" i="35" s="1"/>
  <c r="AE7" i="1"/>
  <c r="J7" i="35" l="1"/>
  <c r="J11" i="39"/>
  <c r="H11" i="39"/>
  <c r="F11" i="39"/>
  <c r="F11" i="21"/>
  <c r="J11" i="21"/>
  <c r="H11" i="21"/>
  <c r="C38" i="68"/>
  <c r="C35" i="68"/>
  <c r="AC7" i="21"/>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U7" i="35"/>
  <c r="AB7" i="35"/>
  <c r="T38" i="35" s="1"/>
  <c r="G38" i="35" s="1"/>
  <c r="F7" i="35"/>
  <c r="F35" i="67"/>
  <c r="F35" i="15"/>
  <c r="M21" i="15"/>
  <c r="F41" i="15"/>
  <c r="M21" i="67"/>
  <c r="U11" i="21" l="1"/>
  <c r="AB11" i="21"/>
  <c r="T48" i="21" s="1"/>
  <c r="G48" i="21" s="1"/>
  <c r="G52" i="21" s="1"/>
  <c r="H52" i="21" s="1"/>
  <c r="S11" i="21"/>
  <c r="AA11" i="21"/>
  <c r="R48" i="21" s="1"/>
  <c r="E48" i="21" s="1"/>
  <c r="U11" i="39"/>
  <c r="AB11" i="39"/>
  <c r="W11" i="21"/>
  <c r="AC11" i="21"/>
  <c r="V48" i="21" s="1"/>
  <c r="AA11" i="39"/>
  <c r="S11" i="39"/>
  <c r="W11" i="39"/>
  <c r="AC11" i="39"/>
  <c r="F69" i="15"/>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K65" i="40"/>
  <c r="L63" i="40"/>
  <c r="I42" i="35"/>
  <c r="J42" i="35" s="1"/>
  <c r="I48" i="21" l="1"/>
  <c r="R49" i="21"/>
  <c r="C49" i="21" s="1"/>
  <c r="G53" i="21"/>
  <c r="H53" i="21" s="1"/>
  <c r="C39" i="68"/>
  <c r="C43" i="68" s="1"/>
  <c r="C42" i="68"/>
  <c r="C48"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I52" i="21" l="1"/>
  <c r="J52" i="21" s="1"/>
  <c r="I53" i="21"/>
  <c r="J53" i="21" s="1"/>
  <c r="C41" i="68"/>
  <c r="C46" i="68"/>
  <c r="C45" i="68" s="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6" i="12" s="1"/>
  <c r="C8" i="12"/>
  <c r="C49" i="68"/>
  <c r="C51"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6" i="1"/>
  <c r="AO9" i="1"/>
  <c r="AO8" i="1"/>
  <c r="AO12" i="1"/>
  <c r="AO10" i="1"/>
  <c r="L46" i="15" l="1"/>
  <c r="B2" i="15"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3" i="15" l="1"/>
  <c r="D6" i="12" s="1"/>
  <c r="D8" i="12"/>
  <c r="C4" i="12" s="1"/>
  <c r="B7" i="70"/>
  <c r="B2" i="70" s="1"/>
  <c r="B3" i="70"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B3" i="39" l="1"/>
  <c r="C6" i="68"/>
  <c r="C30" i="12"/>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19" i="9"/>
  <c r="C23" i="68" l="1"/>
  <c r="C20" i="68"/>
  <c r="D102" i="9"/>
  <c r="D21" i="9"/>
  <c r="B3" i="12"/>
  <c r="D20" i="9"/>
  <c r="C28" i="68" l="1"/>
  <c r="C27" i="68" s="1"/>
  <c r="C25" i="68"/>
  <c r="C22" i="68" s="1"/>
  <c r="D103" i="9"/>
  <c r="C31" i="68" l="1"/>
  <c r="C52" i="68" s="1"/>
  <c r="B2" i="68" l="1"/>
  <c r="C57" i="68"/>
  <c r="C56" i="68" s="1"/>
  <c r="C19" i="9"/>
  <c r="C21" i="9" l="1"/>
  <c r="C102" i="9"/>
  <c r="G19" i="9"/>
  <c r="G21" i="9" s="1"/>
  <c r="D22" i="9"/>
  <c r="B3" i="68"/>
  <c r="C20" i="9"/>
  <c r="D34" i="9"/>
  <c r="D35" i="9"/>
  <c r="C103" i="9" l="1"/>
  <c r="G20" i="9"/>
  <c r="C32" i="9" s="1"/>
  <c r="C35" i="9" s="1"/>
  <c r="C34" i="9" s="1"/>
  <c r="D118" i="9" l="1"/>
  <c r="D119" i="9" s="1"/>
  <c r="D5" i="52" s="1"/>
  <c r="B49" i="72" s="1"/>
  <c r="F118" i="9"/>
  <c r="H118" i="9"/>
  <c r="D14" i="74" s="1"/>
  <c r="F14" i="74" l="1"/>
  <c r="E14" i="74"/>
  <c r="B5" i="74"/>
  <c r="D5" i="74" s="1"/>
  <c r="I118" i="9"/>
  <c r="C105" i="9" s="1"/>
  <c r="K116" i="9"/>
  <c r="D4" i="52"/>
  <c r="B47" i="72" s="1"/>
  <c r="F4" i="52"/>
  <c r="B51" i="72" s="1"/>
  <c r="G118" i="9"/>
  <c r="G4" i="52" s="1"/>
  <c r="B52" i="72" s="1"/>
  <c r="F119" i="9"/>
  <c r="F5" i="52" s="1"/>
  <c r="B53" i="72" s="1"/>
  <c r="H101" i="9"/>
  <c r="H4" i="52"/>
  <c r="C104" i="9"/>
  <c r="H119" i="9"/>
  <c r="H5" i="52" s="1"/>
  <c r="I4" i="52" l="1"/>
  <c r="H102" i="9"/>
  <c r="C5" i="74" s="1"/>
  <c r="M48" i="9"/>
  <c r="D5" i="53"/>
  <c r="D45" i="9"/>
  <c r="H107" i="9"/>
  <c r="E118" i="9"/>
  <c r="E4" i="52" s="1"/>
  <c r="B48" i="72" s="1"/>
  <c r="D7" i="53" l="1"/>
  <c r="B21" i="72" s="1"/>
  <c r="D53" i="9"/>
  <c r="C93" i="9"/>
  <c r="C86" i="9" s="1"/>
  <c r="D55" i="9"/>
  <c r="M53" i="9" s="1"/>
  <c r="D52" i="9"/>
  <c r="C78" i="9"/>
  <c r="C73" i="9" s="1"/>
  <c r="C72" i="9"/>
  <c r="C64" i="9"/>
  <c r="C63" i="9" s="1"/>
  <c r="C67" i="9" s="1"/>
  <c r="C85" i="9"/>
  <c r="D122" i="9"/>
  <c r="G14" i="74" s="1"/>
  <c r="B6" i="74" s="1"/>
  <c r="D6" i="74" s="1"/>
  <c r="H108" i="9"/>
  <c r="D13" i="53"/>
  <c r="M49" i="9"/>
  <c r="D6" i="53"/>
  <c r="B22" i="72" s="1"/>
  <c r="B20" i="72"/>
  <c r="C95" i="9" l="1"/>
  <c r="C96" i="9" s="1"/>
  <c r="E96" i="9" s="1"/>
  <c r="E97" i="9" s="1"/>
  <c r="B30" i="72"/>
  <c r="D14" i="53"/>
  <c r="B32" i="72" s="1"/>
  <c r="D8" i="52"/>
  <c r="D123" i="9"/>
  <c r="D9" i="52" s="1"/>
  <c r="C68" i="9"/>
  <c r="D54" i="9" s="1"/>
  <c r="D59" i="9"/>
  <c r="M55" i="9" s="1"/>
  <c r="L66" i="9"/>
  <c r="M66" i="9" s="1"/>
  <c r="L65" i="9"/>
  <c r="M65" i="9" s="1"/>
  <c r="L68" i="9"/>
  <c r="M68" i="9" s="1"/>
  <c r="L64" i="9"/>
  <c r="M64" i="9" s="1"/>
  <c r="L67" i="9"/>
  <c r="M67" i="9" s="1"/>
  <c r="L63" i="9"/>
  <c r="M63" i="9" s="1"/>
  <c r="D15" i="53"/>
  <c r="B31" i="72" s="1"/>
  <c r="C6" i="74"/>
  <c r="C79" i="9"/>
  <c r="C80" i="9" l="1"/>
  <c r="E80" i="9" s="1"/>
  <c r="E81"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<sst xmlns="http://schemas.openxmlformats.org/spreadsheetml/2006/main" count="9746" uniqueCount="3964">
  <si>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</si>
  <si>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</si>
  <si>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</si>
  <si>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</si>
  <si>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</si>
  <si>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</si>
  <si>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</si>
  <si>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</si>
  <si>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</si>
  <si>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</si>
  <si>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</si>
  <si>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</si>
  <si>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</si>
  <si>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</si>
  <si>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</si>
  <si>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</si>
  <si>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</si>
  <si>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</si>
  <si>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</si>
  <si>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</si>
  <si>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</si>
  <si>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</si>
  <si>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</si>
  <si>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</si>
  <si>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</si>
  <si>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</si>
  <si>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</si>
  <si>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</si>
  <si>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</si>
  <si>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</si>
  <si>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</si>
  <si>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</si>
  <si>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</si>
  <si>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</si>
  <si>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</si>
  <si>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</si>
  <si>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</si>
  <si>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</si>
  <si>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</si>
  <si>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</si>
  <si>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</si>
  <si>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</si>
  <si>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</si>
  <si>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</si>
  <si>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</si>
  <si>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</si>
  <si>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</si>
  <si>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</si>
  <si>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</si>
  <si>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</si>
  <si>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</si>
  <si>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</si>
  <si>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</si>
  <si>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</si>
  <si>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</si>
  <si>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</si>
  <si>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</si>
  <si>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</si>
  <si>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</si>
  <si>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</si>
  <si>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</si>
  <si>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</si>
  <si>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</si>
  <si>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</si>
  <si>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</si>
  <si>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</si>
  <si>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</si>
  <si>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</si>
  <si>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</si>
  <si>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</si>
  <si>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</si>
  <si>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</si>
  <si>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</si>
  <si>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</si>
  <si>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</si>
  <si>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</si>
  <si>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</si>
  <si>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</si>
  <si>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</si>
  <si>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</si>
  <si>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</si>
  <si>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</si>
  <si>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</si>
  <si>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</si>
  <si>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</si>
  <si>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</si>
  <si>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</si>
  <si>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</si>
  <si>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</si>
  <si>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</si>
  <si>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</si>
  <si>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</si>
  <si>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</si>
  <si>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</si>
  <si>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</si>
  <si>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</si>
  <si>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</si>
  <si>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</si>
  <si>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</si>
  <si>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</si>
  <si>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</si>
  <si>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</si>
  <si>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</si>
  <si>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</si>
  <si>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</si>
  <si>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</si>
  <si>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</si>
  <si>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</si>
  <si>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</si>
  <si>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</si>
  <si>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</si>
  <si>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</si>
  <si>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</si>
  <si>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</si>
  <si>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</si>
  <si>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</si>
  <si>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</si>
  <si>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</si>
  <si>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</si>
  <si>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</si>
  <si>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</si>
  <si>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</si>
  <si>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</si>
  <si>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</si>
  <si>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</si>
  <si>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</si>
  <si>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</si>
  <si>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</si>
  <si>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</si>
  <si>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</si>
  <si>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</si>
  <si>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</si>
  <si>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</si>
  <si>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</si>
  <si>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</si>
  <si>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</si>
  <si>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</si>
  <si>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</si>
  <si>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</si>
  <si>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</si>
  <si>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</si>
  <si>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</si>
  <si>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</si>
  <si>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</si>
  <si>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</si>
  <si>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</si>
  <si>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</si>
  <si>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</si>
  <si>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</si>
  <si>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</si>
  <si>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</si>
  <si>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</si>
  <si>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</si>
  <si>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</si>
  <si>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</si>
  <si>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</si>
  <si>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</si>
  <si>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</si>
  <si>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</si>
  <si>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</si>
  <si>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</si>
  <si>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</si>
  <si>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</si>
  <si>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</si>
  <si>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</si>
  <si>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</si>
  <si>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</si>
  <si>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</si>
  <si>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</si>
  <si>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</si>
  <si>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</si>
  <si>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</si>
  <si>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</si>
  <si>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</si>
  <si>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</si>
  <si>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</si>
  <si>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</si>
  <si>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</si>
  <si>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</si>
  <si>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</si>
  <si>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</si>
  <si>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</si>
  <si>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</si>
  <si>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</si>
  <si>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</si>
  <si>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</si>
  <si>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</si>
  <si>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</si>
  <si>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</si>
  <si>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</si>
  <si>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</si>
  <si>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</si>
  <si>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</si>
  <si>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</si>
  <si>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</si>
  <si>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</si>
  <si>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</si>
  <si>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</si>
  <si>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</si>
  <si>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</si>
  <si>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</si>
  <si>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</si>
  <si>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</si>
  <si>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</si>
  <si>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</si>
  <si>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</si>
  <si>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</si>
  <si>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</si>
  <si>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</si>
  <si>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</si>
  <si>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</si>
  <si>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</si>
  <si>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</si>
  <si>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</si>
  <si>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</si>
  <si>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</si>
  <si>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</si>
  <si>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</si>
  <si>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</si>
  <si>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</si>
  <si>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</si>
  <si>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</si>
  <si>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</si>
  <si>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</si>
  <si>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</si>
  <si>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</si>
  <si>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</si>
  <si>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</si>
  <si>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</si>
  <si>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</si>
  <si>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</si>
  <si>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</si>
  <si>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</si>
  <si>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</si>
  <si>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</si>
  <si>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</si>
  <si>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</si>
  <si>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</si>
  <si>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</si>
  <si>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</si>
  <si>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</si>
  <si>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</si>
  <si>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</si>
  <si>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</si>
  <si>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</si>
  <si>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</si>
  <si>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</si>
  <si>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</si>
  <si>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</si>
  <si>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</si>
  <si>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</si>
  <si>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</si>
  <si>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</si>
  <si>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</si>
  <si>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</si>
  <si>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</si>
  <si>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</si>
  <si>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</si>
  <si>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</si>
  <si>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</si>
  <si>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</si>
  <si>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</si>
  <si>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</si>
  <si>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</si>
  <si>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</si>
  <si>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</si>
  <si>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</si>
  <si>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</si>
  <si>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</si>
  <si>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</si>
  <si>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</si>
  <si>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</si>
  <si>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</si>
  <si>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</si>
  <si>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</si>
  <si>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</si>
  <si>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</si>
  <si>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</si>
  <si>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</si>
  <si>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</si>
  <si>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</si>
  <si>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</si>
  <si>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</si>
  <si>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</si>
  <si>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</si>
  <si>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</si>
  <si>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</si>
  <si>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</si>
  <si>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</si>
  <si>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</si>
  <si>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</si>
  <si>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</si>
  <si>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</si>
  <si>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</si>
  <si>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</si>
  <si>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</si>
  <si>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</si>
  <si>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</si>
  <si>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</si>
  <si>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</si>
  <si>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</si>
  <si>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</si>
  <si>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</si>
  <si>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</si>
  <si>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</si>
  <si>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</si>
  <si>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</si>
  <si>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</si>
  <si>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</si>
  <si>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</si>
  <si>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</si>
  <si>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</si>
  <si>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</si>
  <si>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</si>
  <si>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</si>
  <si>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</si>
  <si>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</si>
  <si>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</si>
  <si>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</si>
  <si>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</si>
  <si>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</si>
  <si>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</si>
  <si>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</si>
  <si>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</si>
  <si>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</si>
  <si>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</si>
  <si>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</si>
  <si>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</si>
  <si>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</si>
  <si>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</si>
  <si>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</si>
  <si>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</si>
  <si>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</si>
  <si>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</si>
  <si>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</si>
  <si>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</si>
  <si>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</si>
  <si>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</si>
  <si>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</si>
  <si>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</si>
  <si>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</si>
  <si>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</si>
  <si>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</si>
  <si>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</si>
  <si>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</si>
  <si>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</si>
  <si>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</si>
  <si>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</si>
  <si>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</si>
  <si>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</si>
  <si>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</si>
  <si>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</si>
  <si>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</si>
  <si>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</si>
  <si>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</si>
  <si>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</si>
  <si>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</si>
  <si>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</si>
  <si>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</si>
  <si>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</si>
  <si>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</si>
  <si>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</si>
  <si>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</si>
  <si>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</si>
  <si>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</si>
  <si>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</si>
  <si>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</si>
  <si>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</si>
  <si>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</si>
  <si>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</si>
  <si>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</si>
  <si>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</si>
  <si>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</si>
  <si>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</si>
  <si>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</si>
  <si>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</si>
  <si>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</si>
  <si>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</si>
  <si>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</si>
  <si>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</si>
  <si>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</si>
  <si>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</si>
  <si>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</si>
  <si>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</si>
  <si>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</si>
  <si>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</si>
  <si>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</si>
  <si>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</si>
  <si>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</si>
  <si>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</si>
  <si>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</si>
  <si>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</si>
  <si>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</si>
  <si>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</si>
  <si>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</si>
  <si>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</si>
  <si>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</si>
  <si>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</si>
  <si>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</si>
  <si>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</si>
  <si>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</si>
  <si>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</si>
  <si>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</si>
  <si>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</si>
  <si>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</si>
  <si>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</si>
  <si>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</si>
  <si>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</si>
  <si>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</si>
  <si>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</si>
  <si>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</si>
  <si>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</si>
  <si>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</si>
  <si>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</si>
  <si>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</si>
  <si>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</si>
  <si>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</si>
  <si>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</si>
  <si>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</si>
  <si>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</si>
  <si>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</si>
  <si>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</si>
  <si>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</si>
  <si>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</si>
  <si>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</si>
  <si>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</si>
  <si>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</si>
  <si>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</si>
  <si>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</si>
  <si>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</si>
  <si>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</si>
  <si>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</si>
  <si>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</si>
  <si>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</si>
  <si>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</si>
  <si>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</si>
  <si>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</si>
  <si>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</si>
  <si>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</si>
  <si>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</si>
  <si>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</si>
  <si>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</si>
  <si>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</si>
  <si>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</si>
  <si>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</si>
  <si>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</si>
  <si>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</si>
  <si>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</si>
  <si>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</si>
  <si>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</si>
  <si>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</si>
  <si>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</si>
  <si>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</si>
  <si>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</si>
  <si>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</si>
  <si>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</si>
  <si>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</si>
  <si>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</si>
  <si>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</si>
  <si>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</si>
  <si>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</si>
  <si>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</si>
  <si>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</si>
  <si>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</si>
  <si>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</si>
  <si>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</si>
  <si>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</si>
  <si>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</si>
  <si>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</si>
  <si>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</si>
  <si>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</si>
  <si>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</si>
  <si>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</si>
  <si>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</si>
  <si>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</si>
  <si>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</si>
  <si>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</si>
  <si>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</si>
  <si>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</si>
  <si>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</si>
  <si>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</si>
  <si>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</si>
  <si>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</si>
  <si>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</si>
  <si>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</si>
  <si>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</si>
  <si>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</si>
  <si>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</si>
  <si>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</si>
  <si>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</si>
  <si>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</si>
  <si>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</si>
  <si>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</si>
  <si>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</si>
  <si>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</si>
  <si>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</si>
  <si>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</si>
  <si>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</si>
  <si>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</si>
  <si>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</si>
  <si>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</si>
  <si>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</si>
  <si>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</si>
  <si>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</si>
  <si>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</si>
  <si>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</si>
  <si>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</si>
  <si>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</si>
  <si>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</si>
  <si>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</si>
  <si>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</si>
  <si>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</si>
  <si>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</si>
  <si>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</si>
  <si>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</si>
  <si>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</si>
  <si>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</si>
  <si>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</si>
  <si>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</si>
  <si>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</si>
  <si>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</si>
  <si>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</si>
  <si>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</si>
  <si>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</si>
  <si>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</si>
  <si>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</si>
  <si>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</si>
  <si>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</si>
  <si>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</si>
  <si>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</si>
  <si>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</si>
  <si>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</si>
  <si>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</si>
  <si>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</si>
  <si>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</si>
  <si>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</si>
  <si>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</si>
  <si>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</si>
  <si>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</si>
  <si>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</si>
  <si>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</si>
  <si>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</si>
  <si>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</si>
  <si>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</si>
  <si>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</si>
  <si>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</si>
  <si>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</si>
  <si>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</si>
  <si>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</si>
  <si>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</si>
  <si>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</si>
  <si>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</si>
  <si>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</si>
  <si>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</si>
  <si>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</si>
  <si>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</si>
  <si>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</si>
  <si>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</si>
  <si>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</si>
  <si>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</si>
  <si>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</si>
  <si>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</si>
  <si>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</si>
  <si>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</si>
  <si>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</si>
  <si>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</si>
  <si>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</si>
  <si>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</si>
  <si>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</si>
  <si>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</si>
  <si>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</si>
  <si>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</si>
  <si>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</si>
  <si>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</si>
  <si>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</si>
  <si>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</si>
  <si>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</si>
  <si>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</si>
  <si>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</si>
  <si>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</si>
  <si>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</si>
  <si>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</si>
  <si>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</si>
  <si>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</si>
  <si>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</si>
  <si>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</si>
  <si>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</si>
  <si>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</si>
  <si>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</si>
  <si>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</si>
  <si>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</si>
  <si>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</si>
  <si>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</si>
  <si>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</si>
  <si>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</si>
  <si>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</si>
  <si>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</si>
  <si>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</si>
  <si>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</si>
  <si>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</si>
  <si>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</si>
  <si>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</si>
  <si>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</si>
  <si>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</si>
  <si>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</si>
  <si>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</si>
  <si>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</si>
  <si>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</si>
  <si>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</si>
  <si>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</si>
  <si>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</si>
  <si>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</si>
  <si>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</si>
  <si>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</si>
  <si>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</si>
  <si>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</si>
  <si>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</si>
  <si>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</si>
  <si>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</si>
  <si>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</si>
  <si>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</si>
  <si>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</si>
  <si>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</si>
  <si>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</si>
  <si>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</si>
  <si>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</si>
  <si>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</si>
  <si>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</si>
  <si>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</si>
  <si>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</si>
  <si>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</si>
  <si>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</si>
  <si>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</si>
  <si>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</si>
  <si>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</si>
  <si>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</si>
  <si>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</si>
  <si>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</si>
  <si>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</si>
  <si>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</si>
  <si>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</si>
  <si>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</si>
  <si>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</si>
  <si>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</si>
  <si>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</si>
  <si>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</si>
  <si>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</si>
  <si>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</si>
  <si>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</si>
  <si>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</si>
  <si>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</si>
  <si>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</si>
  <si>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</si>
  <si>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</si>
  <si>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</si>
  <si>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</si>
  <si>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</si>
  <si>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</si>
  <si>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</si>
  <si>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</si>
  <si>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</si>
  <si>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</si>
  <si>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</si>
  <si>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</si>
  <si>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</si>
  <si>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</si>
  <si>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</si>
  <si>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</si>
  <si>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</si>
  <si>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</si>
  <si>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</si>
  <si>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</si>
  <si>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</si>
  <si>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</si>
  <si>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</si>
  <si>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</si>
  <si>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</si>
  <si>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</si>
  <si>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</si>
  <si>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</si>
  <si>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</si>
  <si>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</si>
  <si>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</si>
  <si>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</si>
  <si>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</si>
  <si>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</si>
  <si>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</si>
  <si>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</si>
  <si>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</si>
  <si>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</si>
  <si>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</si>
  <si>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</si>
  <si>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</si>
  <si>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</si>
  <si>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</si>
  <si>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</si>
  <si>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</si>
  <si>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</si>
  <si>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</si>
  <si>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</si>
  <si>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</si>
  <si>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</si>
  <si>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</si>
  <si>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</si>
  <si>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</si>
  <si>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</si>
  <si>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</si>
  <si>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</si>
  <si>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</si>
  <si>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</si>
  <si>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</si>
  <si>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</si>
  <si>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</si>
  <si>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</si>
  <si>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</si>
  <si>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</si>
  <si>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</si>
  <si>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</si>
  <si>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</si>
  <si>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</si>
  <si>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</si>
  <si>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</si>
  <si>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</si>
  <si>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</si>
  <si>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</si>
  <si>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</si>
  <si>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</si>
  <si>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</si>
  <si>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</si>
  <si>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</si>
  <si>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</si>
  <si>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</si>
  <si>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</si>
  <si>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</si>
  <si>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</si>
  <si>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</si>
  <si>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</si>
  <si>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</si>
  <si>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</si>
  <si>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</si>
  <si>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</si>
  <si>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</si>
  <si>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</si>
  <si>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</si>
  <si>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</si>
  <si>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</si>
  <si>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</si>
  <si>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</si>
  <si>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</si>
  <si>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</si>
  <si>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</si>
  <si>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</si>
  <si>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</si>
  <si>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</si>
  <si>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</si>
  <si>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</si>
  <si>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</si>
  <si>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</si>
  <si>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</si>
  <si>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</si>
  <si>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</si>
  <si>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</si>
  <si>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</si>
  <si>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</si>
  <si>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</si>
  <si>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</si>
  <si>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</si>
  <si>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</si>
  <si>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</si>
  <si>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</si>
  <si>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</si>
  <si>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</si>
  <si>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</si>
  <si>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</si>
  <si>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</si>
  <si>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</si>
  <si>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</si>
  <si>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</si>
  <si>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</si>
  <si>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</si>
  <si>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</si>
  <si>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</si>
  <si>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</si>
  <si>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</si>
  <si>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</si>
  <si>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</si>
  <si>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</si>
  <si>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</si>
  <si>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</si>
  <si>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</si>
  <si>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</si>
  <si>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</si>
  <si>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</si>
  <si>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</si>
  <si>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</si>
  <si>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</si>
  <si>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</si>
  <si>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</si>
  <si>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</si>
  <si>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</si>
  <si>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</si>
  <si>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</si>
  <si>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</si>
  <si>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</si>
  <si>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</si>
  <si>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</si>
  <si>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</si>
  <si>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</si>
  <si>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</si>
  <si>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</si>
  <si>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</si>
  <si>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</si>
  <si>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</si>
  <si>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</si>
  <si>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</si>
  <si>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</si>
  <si>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</si>
  <si>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</si>
  <si>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</si>
  <si>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</si>
  <si>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</si>
  <si>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</si>
  <si>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</si>
  <si>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</si>
  <si>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</si>
  <si>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</si>
  <si>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</si>
  <si>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</si>
  <si>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</si>
  <si>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</si>
  <si>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</si>
  <si>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</si>
  <si>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</si>
  <si>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</si>
  <si>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</si>
  <si>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</si>
  <si>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</si>
  <si>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</si>
  <si>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</si>
  <si>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</si>
  <si>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</si>
  <si>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</si>
  <si>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</si>
  <si>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</si>
  <si>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</si>
  <si>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</si>
  <si>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</si>
  <si>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</si>
  <si>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</si>
  <si>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</si>
  <si>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</si>
  <si>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</si>
  <si>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</si>
  <si>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</si>
  <si>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</si>
  <si>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</si>
  <si>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</si>
  <si>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</si>
  <si>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</si>
  <si>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</si>
  <si>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</si>
  <si>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</si>
  <si>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</si>
  <si>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</si>
  <si>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</si>
  <si>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</si>
  <si>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</si>
  <si>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</si>
  <si>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</si>
  <si>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</si>
  <si>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</si>
  <si>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</si>
  <si>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</si>
  <si>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</si>
  <si>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</si>
  <si>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</si>
  <si>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</si>
  <si>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</si>
  <si>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</si>
  <si>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</si>
  <si>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</si>
  <si>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</si>
  <si>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</si>
  <si>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</si>
  <si>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</si>
  <si>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</si>
  <si>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</si>
  <si>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</si>
  <si>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</si>
  <si>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</si>
  <si>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</si>
  <si>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</si>
  <si>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</si>
  <si>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</si>
  <si>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</si>
  <si>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</si>
  <si>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</si>
  <si>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</si>
  <si>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</si>
  <si>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</si>
  <si>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</si>
  <si>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</si>
  <si>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</si>
  <si>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</si>
  <si>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</si>
  <si>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</si>
  <si>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</si>
  <si>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</si>
  <si>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</si>
  <si>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</si>
  <si>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</si>
  <si>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</si>
  <si>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</si>
  <si>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</si>
  <si>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</si>
  <si>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</si>
  <si>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</si>
  <si>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</si>
  <si>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</si>
  <si>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</si>
  <si>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</si>
  <si>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</si>
  <si>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</si>
  <si>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</si>
  <si>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</si>
  <si>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</si>
  <si>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</si>
  <si>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</si>
  <si>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</si>
  <si>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</si>
  <si>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</si>
  <si>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</si>
  <si>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</si>
  <si>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</si>
  <si>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</si>
  <si>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</si>
  <si>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</si>
  <si>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</si>
  <si>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</si>
  <si>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</si>
  <si>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</si>
  <si>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</si>
  <si>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</si>
  <si>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</si>
  <si>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</si>
  <si>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</si>
  <si>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</si>
  <si>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</si>
  <si>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</si>
  <si>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</si>
  <si>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</si>
  <si>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</si>
  <si>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</si>
  <si>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</si>
  <si>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</si>
  <si>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</si>
  <si>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</si>
  <si>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</si>
  <si>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</si>
  <si>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</si>
  <si>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</si>
  <si>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</si>
  <si>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</si>
  <si>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</si>
  <si>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</si>
  <si>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</si>
  <si>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</si>
  <si>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</si>
  <si>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</si>
  <si>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</si>
  <si>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</si>
  <si>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</si>
  <si>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</si>
  <si>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</si>
  <si>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</si>
  <si>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</si>
  <si>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</si>
  <si>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</si>
  <si>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</si>
  <si>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</si>
  <si>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</si>
  <si>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</si>
  <si>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</si>
  <si>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</si>
  <si>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</si>
  <si>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</si>
  <si>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</si>
  <si>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</si>
  <si>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</si>
  <si>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</si>
  <si>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</si>
  <si>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</si>
  <si>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</si>
  <si>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</si>
  <si>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</si>
  <si>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</si>
  <si>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</si>
  <si>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</si>
  <si>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</si>
  <si>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</si>
  <si>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</si>
  <si>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</si>
  <si>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</si>
  <si>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</si>
  <si>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</si>
  <si>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</si>
  <si>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</si>
  <si>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</si>
  <si>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</si>
  <si>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</si>
  <si>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</si>
  <si>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</si>
  <si>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</si>
  <si>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</si>
  <si>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</si>
  <si>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</si>
  <si>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</si>
  <si>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</si>
  <si>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</si>
  <si>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</si>
  <si>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</si>
  <si>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</si>
  <si>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</si>
  <si>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</si>
  <si>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</si>
  <si>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</si>
  <si>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</si>
  <si>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</si>
  <si>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</si>
  <si>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</si>
  <si>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</si>
  <si>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</si>
  <si>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</si>
  <si>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</si>
  <si>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</si>
  <si>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</si>
  <si>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</si>
  <si>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</si>
  <si>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</si>
  <si>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</si>
  <si>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</si>
  <si>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</si>
  <si>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</si>
  <si>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</si>
  <si>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</si>
  <si>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</si>
  <si>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</si>
  <si>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</si>
  <si>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</si>
  <si>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</si>
  <si>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</si>
  <si>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</si>
  <si>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</si>
  <si>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</si>
  <si>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</si>
  <si>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</si>
  <si>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</si>
  <si>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</si>
  <si>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</si>
  <si>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</si>
  <si>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</si>
  <si>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</si>
  <si>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</si>
  <si>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</si>
  <si>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</si>
  <si>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</si>
  <si>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</si>
  <si>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</si>
  <si>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</si>
  <si>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</si>
  <si>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</si>
  <si>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</si>
  <si>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</si>
  <si>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</si>
  <si>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</si>
  <si>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</si>
  <si>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</si>
  <si>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</si>
  <si>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</si>
  <si>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</si>
  <si>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</si>
  <si>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</si>
  <si>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</si>
  <si>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</si>
  <si>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</si>
  <si>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</si>
  <si>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</si>
  <si>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</si>
  <si>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</si>
  <si>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</si>
  <si>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</si>
  <si>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</si>
  <si>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</si>
  <si>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</si>
  <si>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</si>
  <si>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</si>
  <si>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</si>
  <si>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</si>
  <si>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</si>
  <si>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</si>
  <si>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</si>
  <si>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</si>
  <si>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</si>
  <si>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</si>
  <si>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</si>
  <si>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</si>
  <si>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</si>
  <si>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</si>
  <si>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</si>
  <si>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</si>
  <si>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</si>
  <si>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</si>
  <si>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</si>
  <si>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</si>
  <si>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</si>
  <si>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</si>
  <si>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</si>
  <si>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</si>
  <si>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</si>
  <si>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</si>
  <si>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</si>
  <si>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</si>
  <si>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</si>
  <si>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</si>
  <si>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</si>
  <si>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</si>
  <si>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</si>
  <si>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</si>
  <si>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</si>
  <si>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</si>
  <si>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</si>
  <si>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</si>
  <si>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</si>
  <si>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</si>
  <si>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</si>
  <si>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</si>
  <si>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</si>
  <si>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</si>
  <si>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</si>
  <si>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</si>
  <si>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</si>
  <si>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</si>
  <si>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</si>
  <si>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</si>
  <si>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</si>
  <si>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</si>
  <si>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</si>
  <si>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</si>
  <si>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</si>
  <si>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</si>
  <si>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</si>
  <si>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</si>
  <si>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</si>
  <si>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</si>
  <si>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</si>
  <si>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</si>
  <si>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</si>
  <si>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</si>
  <si>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</si>
  <si>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</si>
  <si>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</si>
  <si>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</si>
  <si>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</si>
  <si>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</si>
  <si>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</si>
  <si>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</si>
  <si>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</si>
  <si>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</si>
  <si>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</si>
  <si>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</si>
  <si>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</si>
  <si>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</si>
  <si>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</si>
  <si>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</si>
  <si>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</si>
  <si>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</si>
  <si>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</si>
  <si>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</si>
  <si>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</si>
  <si>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</si>
  <si>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</si>
  <si>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</si>
  <si>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</si>
  <si>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</si>
  <si>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</si>
  <si>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</si>
  <si>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</si>
  <si>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</si>
  <si>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</si>
  <si>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</si>
  <si>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</si>
  <si>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</si>
  <si>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</si>
  <si>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</si>
  <si>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</si>
  <si>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</si>
  <si>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</si>
  <si>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</si>
  <si>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</si>
  <si>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</si>
  <si>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</si>
  <si>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</si>
  <si>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</si>
  <si>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</si>
  <si>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</si>
  <si>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</si>
  <si>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</si>
  <si>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</si>
  <si>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</si>
  <si>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</si>
  <si>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</si>
  <si>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</si>
  <si>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</si>
  <si>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</si>
  <si>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</si>
  <si>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</si>
  <si>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</si>
  <si>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</si>
  <si>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</si>
  <si>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</si>
  <si>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</si>
  <si>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</si>
  <si>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</si>
  <si>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</si>
  <si>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</si>
  <si>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</si>
  <si>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</si>
  <si>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</si>
  <si>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</si>
  <si>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</si>
  <si>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</si>
  <si>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</si>
  <si>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</si>
  <si>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</si>
  <si>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</si>
  <si>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</si>
  <si>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</si>
  <si>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</si>
  <si>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</si>
  <si>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</si>
  <si>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</si>
  <si>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</si>
  <si>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</si>
  <si>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</si>
  <si>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</si>
  <si>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</si>
  <si>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</si>
  <si>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</si>
  <si>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</si>
  <si>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</si>
  <si>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</si>
  <si>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</si>
  <si>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</si>
  <si>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</si>
  <si>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</si>
  <si>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</si>
  <si>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</si>
  <si>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</si>
  <si>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</si>
  <si>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</si>
  <si>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</si>
  <si>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</si>
  <si>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</si>
  <si>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</si>
  <si>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</si>
  <si>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</si>
  <si>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</si>
  <si>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</si>
  <si>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</si>
  <si>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</si>
  <si>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</si>
  <si>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</si>
  <si>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</si>
  <si>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</si>
  <si>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</si>
  <si>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</si>
  <si>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</si>
  <si>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</si>
  <si>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</si>
  <si>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</si>
  <si>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</si>
  <si>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</si>
  <si>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</si>
  <si>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</si>
  <si>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</si>
  <si>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</si>
  <si>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</si>
  <si>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</si>
  <si>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</si>
  <si>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</si>
  <si>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</si>
  <si>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</si>
  <si>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</si>
  <si>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</si>
  <si>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</si>
  <si>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</si>
  <si>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</si>
  <si>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</si>
  <si>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</si>
  <si>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</si>
  <si>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</si>
  <si>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</si>
  <si>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</si>
  <si>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</si>
  <si>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</si>
  <si>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</si>
  <si>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</si>
  <si>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</si>
  <si>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</si>
  <si>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</si>
  <si>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</si>
  <si>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</si>
  <si>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</si>
  <si>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</si>
  <si>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</si>
  <si>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</si>
  <si>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</si>
  <si>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</si>
  <si>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</si>
  <si>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</si>
  <si>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</si>
  <si>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</si>
  <si>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</si>
  <si>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</si>
  <si>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</si>
  <si>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</si>
  <si>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</si>
  <si>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</si>
  <si>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</si>
  <si>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</si>
  <si>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</si>
  <si>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</si>
  <si>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</si>
  <si>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</si>
  <si>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</si>
  <si>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</si>
  <si>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</si>
  <si>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</si>
  <si>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</si>
  <si>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</si>
  <si>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</si>
  <si>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</si>
  <si>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</si>
  <si>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</si>
  <si>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</si>
  <si>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</si>
  <si>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</si>
  <si>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</si>
  <si>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</si>
  <si>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</si>
  <si>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</si>
  <si>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</si>
  <si>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</si>
  <si>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</si>
  <si>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</si>
  <si>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</si>
  <si>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</si>
  <si>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</si>
  <si>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</si>
  <si>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</si>
  <si>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</si>
  <si>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</si>
  <si>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</si>
  <si>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</si>
  <si>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</si>
  <si>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</si>
  <si>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</si>
  <si>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</si>
  <si>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</si>
  <si>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</si>
  <si>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</si>
  <si>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</si>
  <si>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</si>
  <si>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</si>
  <si>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</si>
  <si>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</si>
  <si>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</si>
  <si>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</si>
  <si>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</si>
  <si>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</si>
  <si>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</si>
  <si>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</si>
  <si>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</si>
  <si>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</si>
  <si>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</si>
  <si>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</si>
  <si>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</si>
  <si>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</si>
  <si>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</si>
  <si>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</si>
  <si>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</si>
  <si>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</si>
  <si>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</si>
  <si>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</si>
  <si>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</si>
  <si>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</si>
  <si>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</si>
  <si>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</si>
  <si>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</si>
  <si>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</si>
  <si>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</si>
  <si>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</si>
  <si>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</si>
  <si>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</si>
  <si>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</si>
  <si>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</si>
  <si>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</si>
  <si>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</si>
  <si>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</si>
  <si>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</si>
  <si>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</si>
  <si>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</si>
  <si>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</si>
  <si>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</si>
  <si>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</si>
  <si>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</si>
  <si>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</si>
  <si>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</si>
  <si>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</si>
  <si>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</si>
  <si>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</si>
  <si>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</si>
  <si>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</si>
  <si>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</si>
  <si>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</si>
  <si>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</si>
  <si>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</si>
  <si>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</si>
  <si>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</si>
  <si>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</si>
  <si>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</si>
  <si>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</si>
  <si>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</si>
  <si>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</si>
  <si>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</si>
  <si>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</si>
  <si>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</si>
  <si>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</si>
  <si>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</si>
  <si>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</si>
  <si>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</si>
  <si>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</si>
  <si>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</si>
  <si>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</si>
  <si>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</si>
  <si>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</si>
  <si>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</si>
  <si>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</si>
  <si>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</si>
  <si>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</si>
  <si>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</si>
  <si>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</si>
  <si>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</si>
  <si>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</si>
  <si>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</si>
  <si>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</si>
  <si>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</si>
  <si>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</si>
  <si>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</si>
  <si>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</si>
  <si>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</si>
  <si>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</si>
  <si>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</si>
  <si>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</si>
  <si>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</si>
  <si>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</si>
  <si>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</si>
  <si>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</si>
  <si>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</si>
  <si>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</si>
  <si>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</si>
  <si>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</si>
  <si>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</si>
  <si>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</si>
  <si>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</si>
  <si>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</si>
  <si>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</si>
  <si>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</si>
  <si>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</si>
  <si>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</si>
  <si>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</si>
  <si>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</si>
  <si>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</si>
  <si>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</si>
  <si>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</si>
  <si>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</si>
  <si>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</si>
  <si>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</si>
  <si>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</si>
  <si>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</si>
  <si>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</si>
  <si>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</si>
  <si>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</si>
  <si>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</si>
  <si>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</si>
  <si>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</si>
  <si>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</si>
  <si>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</si>
  <si>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</si>
  <si>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</si>
  <si>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</si>
  <si>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</si>
  <si>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</si>
  <si>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</si>
  <si>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</si>
  <si>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</si>
  <si>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</si>
  <si>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</si>
  <si>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</si>
  <si>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</si>
  <si>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</si>
  <si>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</si>
  <si>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</si>
  <si>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</si>
  <si>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</si>
  <si>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</si>
  <si>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</si>
  <si>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</si>
  <si>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</si>
  <si>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</si>
  <si>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</si>
  <si>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</si>
  <si>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</si>
  <si>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</si>
  <si>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</si>
  <si>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</si>
  <si>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</si>
  <si>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</si>
  <si>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</si>
  <si>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</si>
  <si>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</si>
  <si>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</si>
  <si>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</si>
  <si>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</si>
  <si>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</si>
  <si>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</si>
  <si>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</si>
  <si>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</si>
  <si>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</si>
  <si>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</si>
  <si>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</si>
  <si>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</si>
  <si>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</si>
  <si>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</si>
  <si>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</si>
  <si>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</si>
  <si>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</si>
  <si>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</si>
  <si>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</si>
  <si>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</si>
  <si>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</si>
  <si>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</si>
  <si>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</si>
  <si>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</si>
  <si>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</si>
  <si>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</si>
  <si>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</si>
  <si>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</si>
  <si>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</si>
  <si>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</si>
  <si>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</si>
  <si>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</si>
  <si>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</si>
  <si>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</si>
  <si>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</si>
  <si>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</si>
  <si>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</si>
  <si>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</si>
  <si>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</si>
  <si>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</si>
  <si>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</si>
  <si>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</si>
  <si>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</si>
  <si>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</si>
  <si>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</si>
  <si>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</si>
  <si>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</si>
  <si>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</si>
  <si>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</si>
  <si>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</si>
  <si>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</si>
  <si>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</si>
  <si>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</si>
  <si>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</si>
  <si>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</si>
  <si>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</si>
  <si>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</si>
  <si>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</si>
  <si>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</si>
  <si>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</si>
  <si>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</si>
  <si>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</si>
  <si>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</si>
  <si>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</si>
  <si>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</si>
  <si>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</si>
  <si>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</si>
  <si>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</si>
  <si>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</si>
  <si>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</si>
  <si>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</si>
  <si>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</si>
  <si>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</si>
  <si>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</si>
  <si>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</si>
  <si>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</si>
  <si>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</si>
  <si>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</si>
  <si>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</si>
  <si>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</si>
  <si>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</si>
  <si>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</si>
  <si>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</si>
  <si>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</si>
  <si>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</si>
  <si>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</si>
  <si>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</si>
  <si>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</si>
  <si>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</si>
  <si>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</si>
  <si>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</si>
  <si>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</si>
  <si>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</si>
  <si>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</si>
  <si>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</si>
  <si>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</si>
  <si>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</si>
  <si>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</si>
  <si>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</si>
  <si>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</si>
  <si>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</si>
  <si>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</si>
  <si>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</si>
  <si>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</si>
  <si>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</si>
  <si>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</si>
  <si>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</si>
  <si>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</si>
  <si>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</si>
  <si>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</si>
  <si>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</si>
  <si>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</si>
  <si>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</si>
  <si>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</si>
  <si>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</si>
  <si>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</si>
  <si>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</si>
  <si>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</si>
  <si>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</si>
  <si>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</si>
  <si>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</si>
  <si>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</si>
  <si>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</si>
  <si>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</si>
  <si>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</si>
  <si>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</si>
  <si>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</si>
  <si>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</si>
  <si>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</si>
  <si>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</si>
  <si>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</si>
  <si>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</si>
  <si>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</si>
  <si>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</si>
  <si>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</si>
  <si>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</si>
  <si>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</si>
  <si>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</si>
  <si>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</si>
  <si>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</si>
  <si>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</si>
  <si>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</si>
  <si>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</si>
  <si>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</si>
  <si>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</si>
  <si>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</si>
  <si>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</si>
  <si>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</si>
  <si>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</si>
  <si>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</si>
  <si>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</si>
  <si>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</si>
  <si>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</si>
  <si>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</si>
  <si>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</si>
  <si>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</si>
  <si>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</si>
  <si>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</si>
  <si>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</si>
  <si>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</si>
  <si>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</si>
  <si>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</si>
  <si>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</si>
  <si>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</si>
  <si>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</si>
  <si>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</si>
  <si>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</si>
  <si>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</si>
  <si>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</si>
  <si>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</si>
  <si>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</si>
  <si>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</si>
  <si>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</si>
  <si>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</si>
  <si>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</si>
  <si>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</si>
  <si>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</si>
  <si>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</si>
  <si>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</si>
  <si>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</si>
  <si>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</si>
  <si>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</si>
  <si>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</si>
  <si>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</si>
  <si>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</si>
  <si>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</si>
  <si>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</si>
  <si>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</si>
  <si>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</si>
  <si>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</si>
  <si>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</si>
  <si>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</si>
  <si>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</si>
  <si>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</si>
  <si>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</si>
  <si>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</si>
  <si>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</si>
  <si>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</si>
  <si>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</si>
  <si>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</si>
  <si>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</si>
  <si>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</si>
  <si>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</si>
  <si>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</si>
  <si>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</si>
  <si>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</si>
  <si>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</si>
  <si>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</si>
  <si>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</si>
  <si>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</si>
  <si>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</si>
  <si>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</si>
  <si>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</si>
  <si>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</si>
  <si>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</si>
  <si>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</si>
  <si>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</si>
  <si>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</si>
  <si>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</si>
  <si>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</si>
  <si>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</si>
  <si>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</si>
  <si>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</si>
  <si>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</si>
  <si>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</si>
  <si>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</si>
  <si>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</si>
  <si>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</si>
  <si>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</si>
  <si>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</si>
  <si>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</si>
  <si>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</si>
  <si>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</si>
  <si>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</si>
  <si>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</si>
  <si>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</si>
  <si>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</si>
  <si>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</si>
  <si>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</si>
  <si>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</si>
  <si>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</si>
  <si>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</si>
  <si>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</si>
  <si>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</si>
  <si>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</si>
  <si>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</si>
  <si>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</si>
  <si>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</si>
  <si>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</si>
  <si>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</si>
  <si>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</si>
  <si>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</si>
  <si>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</si>
  <si>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</si>
  <si>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</si>
  <si>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</si>
  <si>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</si>
  <si>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</si>
  <si>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</si>
  <si>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</si>
  <si>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</si>
  <si>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</si>
  <si>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</si>
  <si>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</si>
  <si>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</si>
  <si>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</si>
  <si>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</si>
  <si>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</si>
  <si>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</si>
  <si>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</si>
  <si>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</si>
  <si>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</si>
  <si>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</si>
  <si>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</si>
  <si>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</si>
  <si>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</si>
  <si>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</si>
  <si>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</si>
  <si>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</si>
  <si>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</si>
  <si>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</si>
  <si>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</si>
  <si>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</si>
  <si>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</si>
  <si>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</si>
  <si>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</si>
  <si>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</si>
  <si>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</si>
  <si>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</si>
  <si>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</si>
  <si>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</si>
  <si>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</si>
  <si>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</si>
  <si>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</si>
  <si>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</si>
  <si>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</si>
  <si>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</si>
  <si>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</si>
  <si>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</si>
  <si>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</si>
  <si>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</si>
  <si>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</si>
  <si>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</si>
  <si>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</si>
  <si>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</si>
  <si>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</si>
  <si>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</si>
  <si>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</si>
  <si>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</si>
  <si>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</si>
  <si>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</si>
  <si>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</si>
  <si>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</si>
  <si>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</si>
  <si>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</si>
  <si>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</si>
  <si>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</si>
  <si>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</si>
  <si>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</si>
  <si>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</si>
  <si>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</si>
  <si>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</si>
  <si>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</si>
  <si>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</si>
  <si>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</si>
  <si>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</si>
  <si>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</si>
  <si>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</si>
  <si>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</si>
  <si>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</si>
  <si>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</si>
  <si>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</si>
  <si>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</si>
  <si>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</si>
  <si>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</si>
  <si>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</si>
  <si>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</si>
  <si>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</si>
  <si>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</si>
  <si>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</si>
  <si>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</si>
  <si>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</si>
  <si>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</si>
  <si>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</si>
  <si>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</si>
  <si>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</si>
  <si>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</si>
  <si>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</si>
  <si>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</si>
  <si>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</si>
  <si>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</si>
  <si>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</si>
  <si>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</si>
  <si>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</si>
  <si>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</si>
  <si>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</si>
  <si>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</si>
  <si>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</si>
  <si>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</si>
  <si>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</si>
  <si>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</si>
  <si>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</si>
  <si>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</si>
  <si>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</si>
  <si>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</si>
  <si>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</si>
  <si>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</si>
  <si>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</si>
  <si>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</si>
  <si>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</si>
  <si>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</si>
  <si>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</si>
  <si>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</si>
  <si>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</si>
  <si>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</si>
  <si>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</si>
  <si>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</si>
  <si>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</si>
  <si>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</si>
  <si>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</si>
  <si>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</si>
  <si>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</si>
  <si>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</si>
  <si>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</si>
  <si>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</si>
  <si>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</si>
  <si>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</si>
  <si>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</si>
  <si>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</si>
  <si>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</si>
  <si>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</si>
  <si>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</si>
  <si>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</si>
  <si>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</si>
  <si>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</si>
  <si>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</si>
  <si>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</si>
  <si>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</si>
  <si>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</si>
  <si>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</si>
  <si>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</si>
  <si>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</si>
  <si>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</si>
  <si>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</si>
  <si>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</si>
  <si>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</si>
  <si>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</si>
  <si>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</si>
  <si>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</si>
  <si>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</si>
  <si>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</si>
  <si>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</si>
  <si>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</si>
  <si>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</si>
  <si>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</si>
  <si>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</si>
  <si>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</si>
  <si>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</si>
  <si>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</si>
  <si>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</si>
  <si>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</si>
  <si>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</si>
  <si>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</si>
  <si>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</si>
  <si>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</si>
  <si>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</si>
  <si>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</si>
  <si>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</si>
  <si>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</si>
  <si>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</si>
  <si>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</si>
  <si>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</si>
  <si>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</si>
  <si>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</si>
  <si>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</si>
  <si>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</si>
  <si>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</si>
  <si>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</si>
  <si>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</si>
  <si>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</si>
  <si>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</si>
  <si>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</si>
  <si>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</si>
  <si>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</si>
  <si>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</si>
  <si>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</si>
  <si>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</si>
  <si>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</si>
  <si>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</si>
  <si>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</si>
  <si>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</si>
  <si>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</si>
  <si>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</si>
  <si>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</si>
  <si>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</si>
  <si>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</si>
  <si>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</si>
  <si>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</si>
  <si>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</si>
  <si>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</si>
  <si>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</si>
  <si>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</si>
  <si>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</si>
  <si>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</si>
  <si>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</si>
  <si>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</si>
  <si>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</si>
  <si>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</si>
  <si>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</si>
  <si>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</si>
  <si>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</si>
  <si>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</si>
  <si>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</si>
  <si>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</si>
  <si>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</si>
  <si>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</si>
  <si>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</si>
  <si>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</si>
  <si>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</si>
  <si>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</si>
  <si>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</si>
  <si>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</si>
  <si>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</si>
  <si>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</si>
  <si>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</si>
  <si>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</si>
  <si>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</si>
  <si>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</si>
  <si>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</si>
  <si>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</si>
  <si>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</si>
  <si>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</si>
  <si>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</si>
  <si>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</si>
  <si>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</si>
  <si>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</si>
  <si>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</si>
  <si>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</si>
  <si>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</si>
  <si>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</si>
  <si>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</si>
  <si>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</si>
  <si>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</si>
  <si>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</si>
  <si>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</si>
  <si>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</si>
  <si>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</si>
  <si>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</si>
  <si>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</si>
  <si>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</si>
  <si>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</si>
  <si>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</si>
  <si>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</si>
  <si>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</si>
  <si>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</si>
  <si>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</si>
  <si>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</si>
  <si>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</si>
  <si>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</si>
  <si>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</si>
  <si>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</si>
  <si>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</si>
  <si>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</si>
  <si>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</si>
  <si>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</si>
  <si>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</si>
  <si>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</si>
  <si>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</si>
  <si>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</si>
  <si>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</si>
  <si>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</si>
  <si>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</si>
  <si>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</si>
  <si>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</si>
  <si>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</si>
  <si>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</si>
  <si>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</si>
  <si>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</si>
  <si>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</si>
  <si>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</si>
  <si>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</si>
  <si>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</si>
  <si>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</si>
  <si>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</si>
  <si>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</si>
  <si>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</si>
  <si>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</si>
  <si>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</si>
  <si>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</si>
  <si>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</si>
  <si>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</si>
  <si>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</si>
  <si>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</si>
  <si>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</si>
  <si>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</si>
  <si>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</si>
  <si>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</si>
  <si>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</si>
  <si>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</si>
  <si>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</si>
  <si>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</si>
  <si>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</si>
  <si>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</si>
  <si>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</si>
  <si>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</si>
  <si>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</si>
  <si>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</si>
  <si>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</si>
  <si>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</si>
  <si>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</si>
  <si>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</si>
  <si>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</si>
  <si>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</si>
  <si>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</si>
  <si>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</si>
  <si>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</si>
  <si>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</si>
  <si>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</si>
  <si>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</si>
  <si>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</si>
  <si>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</si>
  <si>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</si>
  <si>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</si>
  <si>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</si>
  <si>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</si>
  <si>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</si>
  <si>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</si>
  <si>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</si>
  <si>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</si>
  <si>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</si>
  <si>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</si>
  <si>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</si>
  <si>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</si>
  <si>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</si>
  <si>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</si>
  <si>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</si>
  <si>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</si>
  <si>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</si>
  <si>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</si>
  <si>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</si>
  <si>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</si>
  <si>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</si>
  <si>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</si>
  <si>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</si>
  <si>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</si>
  <si>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</si>
  <si>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</si>
  <si>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</si>
  <si>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</si>
  <si>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</si>
  <si>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</si>
  <si>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</si>
  <si>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</si>
  <si>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</si>
  <si>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</si>
  <si>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</si>
  <si>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</si>
  <si>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</si>
  <si>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</si>
  <si>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</si>
  <si>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</si>
  <si>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</si>
  <si>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</si>
  <si>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</si>
  <si>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</si>
  <si>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</si>
  <si>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</si>
  <si>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</si>
  <si>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</si>
  <si>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</si>
  <si>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</si>
  <si>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</si>
  <si>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</si>
  <si>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</si>
  <si>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</si>
  <si>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</si>
  <si>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</si>
  <si>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</si>
  <si>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</si>
  <si>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</si>
  <si>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</si>
  <si>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</si>
  <si>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</si>
  <si>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</si>
  <si>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</si>
  <si>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</si>
  <si>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</si>
  <si>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</si>
  <si>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</si>
  <si>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</si>
  <si>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</si>
  <si>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</si>
  <si>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</si>
  <si>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</si>
  <si>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</si>
  <si>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</si>
  <si>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</si>
  <si>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</si>
  <si>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</si>
  <si>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</si>
  <si>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</si>
  <si>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</si>
  <si>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</si>
  <si>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</si>
  <si>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</si>
  <si>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</si>
  <si>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</si>
  <si>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</si>
  <si>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</si>
  <si>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</si>
  <si>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</si>
  <si>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</si>
  <si>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</si>
  <si>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</si>
  <si>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</si>
  <si>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</si>
  <si>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</si>
  <si>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</si>
  <si>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</si>
  <si>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</si>
  <si>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</si>
  <si>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</si>
  <si>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</si>
  <si>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</si>
  <si>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</si>
  <si>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</si>
  <si>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</si>
  <si>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</si>
  <si>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</si>
  <si>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</si>
  <si>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</si>
  <si>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</si>
  <si>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</si>
  <si>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</si>
  <si>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</si>
  <si>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</si>
  <si>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</si>
  <si>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</si>
  <si>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</si>
  <si>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</si>
  <si>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</si>
  <si>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</si>
  <si>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</si>
  <si>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</si>
  <si>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</si>
  <si>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</si>
  <si>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</si>
  <si>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</si>
  <si>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</si>
  <si>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</si>
  <si>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</si>
  <si>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</si>
  <si>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</si>
  <si>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</si>
  <si>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</si>
  <si>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</si>
  <si>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</si>
  <si>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</si>
  <si>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</si>
  <si>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</si>
  <si>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</si>
  <si>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</si>
  <si>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</si>
  <si>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</si>
  <si>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</si>
  <si>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</si>
  <si>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</si>
  <si>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</si>
  <si>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</si>
  <si>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</si>
  <si>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</si>
  <si>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</si>
  <si>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</si>
  <si>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</si>
  <si>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</si>
  <si>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</si>
  <si>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</si>
  <si>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</si>
  <si>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</si>
  <si>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</si>
  <si>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</si>
  <si>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</si>
  <si>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</si>
  <si>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</si>
  <si>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</si>
  <si>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</si>
  <si>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</si>
  <si>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</si>
  <si>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</si>
  <si>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</si>
  <si>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</si>
  <si>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</si>
  <si>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</si>
  <si>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</si>
  <si>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</si>
  <si>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</si>
  <si>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</si>
  <si>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</si>
  <si>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</si>
  <si>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</si>
  <si>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</si>
  <si>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</si>
  <si>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</si>
  <si>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</si>
  <si>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</si>
  <si>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</si>
  <si>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</si>
  <si>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</si>
  <si>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</si>
  <si>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</si>
  <si>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</si>
  <si>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</si>
  <si>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</si>
  <si>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</si>
  <si>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</si>
  <si>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</si>
  <si>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</si>
  <si>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</si>
  <si>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</si>
  <si>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</si>
  <si>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</si>
  <si>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</si>
  <si>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</si>
  <si>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</si>
  <si>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</si>
  <si>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</si>
  <si>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</si>
  <si>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</si>
  <si>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</si>
  <si>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</si>
  <si>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</si>
  <si>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</si>
  <si>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</si>
  <si>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</si>
  <si>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</si>
  <si>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</si>
  <si>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</si>
  <si>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</si>
  <si>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</si>
  <si>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</si>
  <si>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</si>
  <si>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</si>
  <si>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</si>
  <si>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</si>
  <si>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</si>
  <si>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</si>
  <si>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</si>
  <si>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</si>
  <si>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</si>
  <si>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</si>
  <si>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</si>
  <si>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</si>
  <si>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</si>
  <si>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</si>
  <si>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</si>
  <si>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</si>
  <si>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</si>
  <si>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</si>
  <si>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</si>
  <si>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</si>
  <si>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</si>
  <si>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</si>
  <si>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</si>
  <si>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</si>
  <si>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</si>
  <si>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</si>
  <si>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</si>
  <si>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</si>
  <si>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</si>
  <si>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</si>
  <si>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</si>
  <si>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</si>
  <si>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</si>
  <si>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</si>
  <si>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</si>
  <si>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</si>
  <si>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</si>
  <si>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</si>
  <si>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</si>
  <si>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</si>
  <si>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</si>
  <si>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</si>
  <si>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</si>
  <si>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</si>
  <si>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</si>
  <si>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</si>
  <si>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</si>
  <si>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</si>
  <si>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</si>
  <si>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</si>
  <si>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</si>
  <si>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</si>
  <si>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</si>
  <si>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</si>
  <si>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</si>
  <si>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</si>
  <si>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</si>
  <si>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</si>
  <si>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</si>
  <si>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</si>
  <si>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</si>
  <si>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</si>
  <si>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</si>
  <si>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</si>
  <si>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</si>
  <si>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</si>
  <si>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</si>
  <si>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</si>
  <si>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</si>
  <si>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</si>
  <si>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</si>
  <si>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</si>
  <si>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</si>
  <si>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</si>
  <si>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</si>
  <si>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</si>
  <si>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</si>
  <si>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</si>
  <si>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</si>
  <si>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</si>
  <si>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</si>
  <si>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</si>
  <si>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</si>
  <si>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</si>
  <si>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</si>
  <si>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</si>
  <si>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</si>
  <si>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</si>
  <si>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</si>
  <si>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</si>
  <si>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</si>
  <si>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</si>
  <si>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</si>
  <si>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</si>
  <si>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</si>
  <si>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</si>
  <si>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</si>
  <si>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</si>
  <si>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</si>
  <si>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</si>
  <si>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</si>
  <si>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</si>
  <si>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</si>
  <si>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</si>
  <si>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</si>
  <si>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</si>
  <si>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</si>
  <si>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</si>
  <si>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</si>
  <si>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</si>
  <si>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</si>
  <si>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</si>
  <si>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</si>
  <si>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</si>
  <si>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</si>
  <si>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</si>
  <si>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</si>
  <si>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</si>
  <si>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</si>
  <si>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</si>
  <si>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</si>
  <si>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</si>
  <si>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</si>
  <si>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</si>
  <si>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</si>
  <si>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</si>
  <si>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</si>
  <si>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</si>
  <si>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</si>
  <si>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</si>
  <si>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</si>
  <si>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</si>
  <si>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</si>
  <si>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</si>
  <si>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</si>
  <si>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</si>
  <si>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</si>
  <si>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</si>
  <si>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</si>
  <si>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</si>
  <si>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</si>
  <si>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</si>
  <si>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</si>
  <si>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</si>
  <si>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</si>
  <si>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</si>
  <si>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</si>
  <si>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</si>
  <si>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</si>
  <si>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</si>
  <si>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</si>
  <si>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</si>
  <si>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</si>
  <si>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</si>
  <si>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</si>
  <si>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</si>
  <si>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</si>
  <si>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</si>
  <si>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</si>
  <si>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</si>
  <si>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</si>
  <si>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</si>
  <si>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</si>
  <si>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</si>
  <si>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</si>
  <si>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</si>
  <si>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</si>
  <si>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</si>
  <si>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</si>
  <si>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</si>
  <si>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</si>
  <si>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</si>
  <si>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</si>
  <si>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</si>
  <si>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</si>
  <si>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</si>
  <si>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</si>
  <si>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</si>
  <si>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</si>
  <si>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</si>
  <si>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</si>
  <si>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</si>
  <si>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</si>
  <si>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</si>
  <si>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</si>
  <si>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</si>
  <si>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</si>
  <si>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</si>
  <si>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</si>
  <si>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</si>
  <si>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</si>
  <si>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</si>
  <si>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</si>
  <si>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</si>
  <si>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</si>
  <si>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</si>
  <si>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</si>
  <si>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</si>
  <si>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</si>
  <si>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</si>
  <si>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</si>
  <si>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</si>
  <si>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</si>
  <si>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</si>
  <si>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</si>
  <si>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</si>
  <si>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</si>
  <si>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</si>
  <si>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</si>
  <si>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</si>
  <si>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</si>
  <si>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</si>
  <si>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</si>
  <si>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</si>
  <si>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</si>
  <si>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</si>
  <si>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</si>
  <si>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</si>
  <si>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</si>
  <si>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</si>
  <si>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</si>
  <si>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</si>
  <si>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</si>
  <si>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</si>
  <si>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</si>
  <si>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</si>
  <si>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</si>
  <si>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</si>
  <si>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</si>
  <si>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</si>
  <si>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</si>
  <si>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</si>
  <si>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</si>
  <si>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</si>
  <si>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</si>
  <si>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</si>
  <si>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</si>
  <si>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</si>
  <si>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</si>
  <si>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</si>
  <si>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</si>
  <si>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</si>
  <si>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</si>
  <si>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</si>
  <si>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</si>
  <si>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</si>
  <si>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</si>
  <si>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</si>
  <si>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</si>
  <si>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</si>
  <si>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</si>
  <si>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</si>
  <si>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</si>
  <si>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</si>
  <si>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</si>
  <si>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</si>
  <si>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</si>
  <si>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</si>
  <si>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</si>
  <si>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</si>
  <si>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</si>
  <si>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</si>
  <si>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</si>
  <si>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</si>
  <si>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</si>
  <si>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</si>
  <si>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</si>
  <si>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</si>
  <si>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</si>
  <si>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</si>
  <si>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</si>
  <si>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</si>
  <si>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</si>
  <si>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</si>
  <si>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</si>
  <si>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</si>
  <si>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</si>
  <si>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</si>
  <si>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</si>
  <si>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</si>
  <si>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</si>
  <si>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</si>
  <si>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</si>
  <si>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</si>
  <si>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</si>
  <si>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</si>
  <si>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</si>
  <si>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</si>
  <si>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</si>
  <si>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</si>
  <si>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</si>
  <si>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</si>
  <si>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</si>
  <si>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</si>
  <si>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</si>
  <si>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</si>
  <si>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</si>
  <si>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</si>
  <si>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</si>
  <si>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</si>
  <si>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</si>
  <si>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</si>
  <si>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</si>
  <si>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</si>
  <si>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</si>
  <si>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</si>
  <si>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</si>
  <si>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</si>
  <si>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</si>
  <si>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</si>
  <si>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</si>
  <si>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</si>
  <si>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</si>
  <si>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</si>
  <si>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</si>
  <si>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</si>
  <si>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</si>
  <si>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</si>
  <si>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</si>
  <si>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</si>
  <si>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</si>
  <si>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</si>
  <si>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</si>
  <si>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</si>
  <si>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</si>
  <si>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</si>
  <si>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</si>
  <si>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</si>
  <si>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</si>
  <si>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</si>
  <si>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</si>
  <si>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</si>
  <si>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</si>
  <si>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</si>
  <si>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</si>
  <si>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</si>
  <si>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</si>
  <si>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</si>
  <si>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</si>
  <si>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</si>
  <si>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</si>
  <si>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</si>
  <si>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</si>
  <si>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</si>
  <si>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</si>
  <si>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</si>
  <si>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</si>
  <si>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</si>
  <si>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</si>
  <si>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</si>
  <si>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</si>
  <si>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</si>
  <si>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</si>
  <si>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</si>
  <si>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</si>
  <si>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</si>
  <si>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</si>
  <si>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</si>
  <si>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</si>
  <si>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</si>
  <si>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</si>
  <si>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</si>
  <si>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</si>
  <si>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</si>
  <si>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</si>
  <si>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</si>
  <si>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</si>
  <si>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</si>
  <si>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</si>
  <si>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</si>
  <si>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</si>
  <si>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</si>
  <si>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</si>
  <si>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</si>
  <si>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</si>
  <si>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</si>
  <si>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</si>
  <si>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</si>
  <si>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</si>
  <si>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</si>
  <si>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</si>
  <si>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</si>
  <si>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</si>
  <si>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</si>
  <si>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</si>
  <si>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</si>
  <si>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</si>
  <si>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</si>
  <si>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</si>
  <si>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</si>
  <si>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</si>
  <si>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</si>
  <si>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</si>
  <si>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</si>
  <si>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</si>
  <si>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</si>
  <si>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</si>
  <si>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</si>
  <si>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</si>
  <si>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</si>
  <si>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</si>
  <si>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</si>
  <si>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</si>
  <si>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</si>
  <si>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</si>
  <si>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</si>
  <si>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</si>
  <si>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</si>
  <si>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</si>
  <si>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</si>
  <si>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</si>
  <si>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</si>
  <si>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</si>
  <si>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</si>
  <si>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</si>
  <si>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</si>
  <si>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</si>
  <si>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</si>
  <si>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</si>
  <si>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</si>
  <si>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</si>
  <si>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</si>
  <si>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</si>
  <si>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</si>
  <si>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</si>
  <si>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</si>
  <si>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</si>
  <si>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</si>
  <si>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</si>
  <si>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</si>
  <si>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</si>
  <si>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</si>
  <si>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</si>
  <si>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</si>
  <si>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</si>
  <si>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</si>
  <si>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</si>
  <si>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</si>
  <si>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</si>
  <si>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</si>
  <si>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</si>
  <si>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</si>
  <si>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</si>
  <si>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</si>
  <si>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</si>
  <si>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</si>
  <si>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</si>
  <si>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</si>
  <si>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</si>
  <si>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</si>
  <si>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</si>
  <si>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</si>
  <si>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</si>
  <si>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</si>
  <si>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</si>
  <si>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</si>
  <si>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</si>
  <si>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</si>
  <si>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</si>
  <si>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</si>
  <si>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</si>
  <si>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</si>
  <si>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</si>
  <si>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</si>
  <si>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</si>
  <si>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</si>
  <si>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</si>
  <si>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</si>
  <si>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</si>
  <si>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</si>
  <si>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</si>
  <si>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</si>
  <si>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</si>
  <si>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</si>
  <si>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</si>
  <si>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</si>
  <si>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</si>
  <si>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</si>
  <si>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</si>
  <si>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</si>
  <si>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</si>
  <si>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</si>
  <si>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</si>
  <si>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</si>
  <si>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</si>
  <si>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</si>
  <si>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</si>
  <si>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</si>
  <si>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</si>
  <si>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</si>
  <si>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</si>
  <si>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</si>
  <si>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</si>
  <si>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</si>
  <si>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</si>
  <si>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</si>
  <si>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</si>
  <si>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</si>
  <si>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</si>
  <si>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</si>
  <si>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</si>
  <si>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</si>
  <si>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</si>
  <si>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</si>
  <si>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</si>
  <si>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</si>
  <si>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</si>
  <si>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</si>
  <si>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</si>
  <si>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</si>
  <si>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</si>
  <si>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</si>
  <si>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</si>
  <si>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</si>
  <si>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</si>
  <si>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</si>
  <si>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</si>
  <si>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</si>
  <si>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</si>
  <si>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</si>
  <si>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</si>
  <si>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</si>
  <si>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</si>
  <si>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</si>
  <si>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</si>
  <si>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</si>
  <si>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</si>
  <si>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</si>
  <si>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</si>
  <si>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</si>
  <si>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</si>
  <si>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</si>
  <si>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</si>
  <si>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</si>
  <si>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</si>
  <si>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</si>
  <si>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</si>
  <si>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</si>
  <si>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</si>
  <si>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</si>
  <si>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</si>
  <si>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</si>
  <si>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</si>
  <si>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</si>
  <si>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</si>
  <si>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</si>
  <si>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</si>
  <si>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</si>
  <si>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</si>
  <si>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</si>
  <si>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</si>
  <si>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</si>
  <si>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</si>
  <si>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</si>
  <si>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</si>
  <si>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</si>
  <si>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</si>
  <si>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</si>
  <si>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</si>
  <si>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</si>
  <si>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</si>
  <si>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</si>
  <si>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</si>
  <si>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</si>
  <si>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</si>
  <si>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</si>
  <si>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</si>
  <si>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</si>
  <si>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</si>
  <si>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</si>
  <si>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</si>
  <si>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</si>
  <si>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</si>
  <si>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</si>
  <si>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</si>
  <si>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</si>
  <si>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</si>
  <si>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</si>
  <si>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</si>
  <si>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</si>
  <si>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</si>
  <si>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</si>
  <si>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</si>
  <si>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</si>
  <si>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</si>
  <si>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</si>
  <si>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</si>
  <si>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</si>
  <si>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</si>
  <si>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</si>
  <si>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</si>
  <si>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</si>
  <si>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</si>
  <si>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</si>
  <si>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</si>
  <si>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</si>
  <si>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</si>
  <si>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</si>
  <si>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</si>
  <si>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</si>
  <si>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</si>
  <si>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</si>
  <si>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</si>
  <si>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</si>
  <si>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</si>
  <si>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</si>
  <si>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</si>
  <si>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</si>
  <si>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</si>
  <si>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</si>
  <si>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</si>
  <si>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</si>
  <si>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</si>
  <si>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</si>
  <si>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</si>
  <si>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</si>
  <si>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</si>
  <si>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</si>
  <si>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</si>
  <si>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</si>
  <si>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</si>
  <si>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</si>
  <si>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</si>
  <si>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</si>
  <si>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</si>
  <si>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</si>
  <si>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</si>
  <si>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</si>
  <si>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</si>
  <si>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</si>
  <si>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</si>
  <si>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</si>
  <si>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</si>
  <si>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</si>
  <si>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</si>
  <si>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</si>
  <si>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</si>
  <si>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</si>
  <si>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</si>
  <si>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</si>
  <si>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</si>
  <si>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</si>
  <si>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</si>
  <si>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</si>
  <si>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</si>
  <si>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</si>
  <si>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</si>
  <si>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</si>
  <si>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</si>
  <si>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</si>
  <si>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</si>
  <si>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</si>
  <si>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</si>
  <si>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</si>
  <si>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</si>
  <si>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</si>
  <si>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</si>
  <si>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</si>
  <si>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</si>
  <si>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</si>
  <si>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</si>
  <si>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</si>
  <si>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</si>
  <si>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</si>
  <si>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</si>
  <si>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</si>
  <si>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</si>
  <si>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</si>
  <si>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</si>
  <si>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</si>
  <si>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</si>
  <si>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</si>
  <si>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</si>
  <si>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</si>
  <si>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</si>
  <si>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</si>
  <si>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</si>
  <si>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</si>
  <si>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</si>
  <si>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</si>
  <si>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</si>
  <si>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</si>
  <si>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</si>
  <si>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</si>
  <si>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</si>
  <si>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</si>
  <si>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</si>
  <si>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</si>
  <si>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</si>
  <si>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</si>
  <si>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</si>
  <si>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</si>
  <si>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</si>
  <si>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</si>
  <si>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</si>
  <si>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</si>
  <si>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</si>
  <si>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</si>
  <si>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</si>
  <si>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</si>
  <si>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</si>
  <si>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</si>
  <si>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</si>
  <si>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</si>
  <si>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</si>
  <si>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</si>
  <si>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</si>
  <si>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</si>
  <si>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</si>
  <si>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</si>
  <si>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</si>
  <si>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</si>
  <si>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</si>
  <si>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</si>
  <si>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</si>
  <si>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</si>
  <si>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</si>
  <si>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</si>
  <si>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</si>
  <si>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</si>
  <si>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</si>
  <si>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</si>
  <si>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</si>
  <si>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</si>
  <si>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</si>
  <si>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</si>
  <si>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</si>
  <si>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</si>
  <si>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</si>
  <si>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</si>
  <si>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</si>
  <si>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</si>
  <si>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</si>
  <si>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</si>
  <si>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</si>
  <si>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</si>
  <si>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</si>
  <si>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</si>
  <si>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</si>
  <si>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</si>
  <si>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</si>
  <si>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</si>
  <si>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</si>
  <si>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</si>
  <si>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</si>
  <si>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</si>
  <si>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</si>
  <si>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</si>
  <si>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</si>
  <si>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</si>
  <si>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</si>
  <si>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</si>
  <si>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</si>
  <si>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</si>
  <si>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</si>
  <si>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</si>
  <si>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</si>
  <si>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</si>
  <si>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</si>
  <si>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</si>
  <si>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</si>
  <si>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</si>
  <si>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</si>
  <si>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</si>
  <si>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</si>
  <si>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</si>
  <si>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</si>
  <si>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</si>
  <si>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</si>
  <si>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</si>
  <si>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</si>
  <si>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</si>
  <si>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</si>
  <si>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</si>
  <si>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</si>
  <si>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</si>
  <si>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</si>
  <si>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</si>
  <si>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</si>
  <si>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</si>
  <si>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</si>
  <si>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</si>
  <si>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</si>
  <si>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</si>
  <si>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</si>
  <si>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</si>
  <si>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</si>
  <si>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</si>
  <si>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</si>
  <si>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</si>
  <si>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</si>
  <si>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</si>
  <si>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</si>
  <si>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</si>
  <si>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</si>
  <si>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</si>
  <si>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</si>
  <si>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</si>
  <si>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</si>
  <si>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</si>
  <si>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</si>
  <si>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</si>
  <si>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</si>
  <si>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</si>
  <si>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</si>
  <si>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</si>
  <si>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</si>
  <si>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</si>
  <si>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</si>
  <si>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</si>
  <si>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</si>
  <si>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</si>
  <si>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</si>
  <si>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</si>
  <si>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</si>
  <si>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</si>
  <si>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</si>
  <si>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</si>
  <si>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</si>
  <si>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</si>
  <si>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</si>
  <si>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</si>
  <si>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</si>
  <si>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</si>
  <si>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</si>
  <si>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</si>
  <si>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</si>
  <si>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</si>
  <si>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</si>
  <si>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</si>
  <si>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</si>
  <si>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</si>
  <si>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</si>
  <si>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</si>
  <si>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</si>
  <si>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</si>
  <si>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</si>
  <si>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</si>
  <si>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</si>
  <si>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</si>
  <si>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</si>
  <si>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</si>
  <si>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</si>
  <si>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</si>
  <si>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</si>
  <si>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</si>
  <si>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</si>
  <si>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</si>
  <si>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</si>
  <si>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</si>
  <si>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</si>
  <si>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</si>
  <si>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</si>
  <si>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</si>
  <si>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</si>
  <si>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</si>
  <si>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</si>
  <si>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</si>
  <si>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</si>
  <si>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</si>
  <si>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</si>
  <si>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</si>
  <si>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</si>
  <si>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</si>
  <si>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</si>
  <si>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</si>
  <si>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</si>
  <si>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</si>
  <si>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</si>
  <si>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</si>
  <si>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</si>
  <si>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</si>
  <si>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</si>
  <si>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</si>
  <si>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</si>
  <si>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</si>
  <si>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</si>
  <si>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</si>
  <si>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</si>
  <si>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</si>
  <si>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</si>
  <si>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</si>
  <si>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</si>
  <si>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</si>
  <si>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</si>
  <si>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</si>
  <si>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</si>
  <si>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</si>
  <si>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</si>
  <si>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</si>
  <si>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</si>
  <si>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</si>
  <si>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</si>
  <si>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</si>
  <si>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</si>
  <si>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</si>
  <si>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</si>
  <si>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</si>
  <si>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</si>
  <si>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</si>
  <si>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</si>
  <si>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</si>
  <si>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</si>
  <si>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</si>
  <si>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</si>
  <si>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</si>
  <si>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</si>
  <si>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</si>
  <si>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</si>
  <si>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</si>
  <si>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</si>
  <si>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</si>
  <si>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</si>
  <si>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</si>
  <si>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</si>
  <si>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</si>
  <si>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</si>
  <si>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</si>
  <si>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</si>
  <si>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</si>
  <si>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</si>
  <si>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</si>
  <si>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</si>
  <si>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</si>
  <si>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</si>
  <si>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</si>
  <si>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</si>
  <si>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</si>
  <si>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</si>
  <si>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</si>
  <si>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</si>
  <si>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</si>
  <si>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</si>
  <si>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</si>
  <si>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</si>
  <si>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</si>
  <si>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</si>
  <si>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</si>
  <si>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</si>
  <si>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</si>
  <si>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</si>
  <si>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</si>
  <si>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</si>
  <si>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</si>
  <si>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</si>
  <si>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</si>
  <si>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</si>
  <si>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</si>
  <si>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</si>
  <si>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</si>
  <si>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</si>
  <si>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</si>
  <si>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</si>
  <si>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</si>
  <si>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</si>
  <si>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</si>
  <si>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</si>
  <si>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</si>
  <si>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</si>
  <si>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</si>
  <si>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</si>
  <si>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</si>
  <si>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</si>
  <si>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</si>
  <si>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</si>
  <si>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</si>
  <si>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</si>
  <si>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</si>
  <si>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</si>
  <si>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</si>
  <si>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</si>
  <si>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</si>
  <si>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</si>
  <si>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</si>
  <si>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</si>
  <si>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</si>
  <si>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</si>
  <si>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</si>
  <si>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</si>
  <si>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</si>
  <si>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</si>
  <si>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</si>
  <si>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</si>
  <si>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</si>
  <si>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</si>
  <si>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</si>
  <si>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</si>
  <si>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</si>
  <si>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</si>
  <si>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</si>
  <si>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</si>
  <si>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</si>
  <si>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</si>
  <si>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</si>
  <si>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</si>
  <si>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</si>
  <si>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</si>
  <si>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</si>
  <si>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</si>
  <si>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</si>
  <si>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</si>
  <si>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</si>
  <si>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</si>
  <si>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</si>
  <si>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</si>
  <si>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</si>
  <si>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</si>
  <si>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</si>
  <si>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</si>
  <si>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</si>
  <si>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</si>
  <si>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</si>
  <si>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</si>
  <si>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</si>
  <si>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</si>
  <si>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</si>
  <si>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</si>
  <si>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</si>
  <si>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</si>
  <si>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</si>
  <si>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</si>
  <si>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</si>
  <si>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</si>
  <si>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</si>
  <si>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</si>
  <si>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</si>
  <si>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</si>
  <si>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</si>
  <si>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</si>
  <si>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</si>
  <si>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</si>
  <si>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</si>
  <si>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</si>
  <si>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</si>
  <si>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</si>
  <si>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</si>
  <si>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</si>
  <si>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</si>
  <si>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</si>
  <si>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</si>
  <si>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</si>
  <si>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</si>
  <si>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</si>
  <si>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</si>
  <si>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</si>
  <si>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</si>
  <si>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</si>
  <si>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</si>
  <si>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</si>
  <si>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</si>
  <si>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3号楼</t>
    <phoneticPr fontId="134" type="noConversion"/>
  </si>
  <si>
    <t>6号楼</t>
    <phoneticPr fontId="134" type="noConversion"/>
  </si>
  <si>
    <t>住宅</t>
  </si>
  <si>
    <t>商业</t>
    <phoneticPr fontId="134" type="noConversion"/>
  </si>
  <si>
    <t>设备</t>
    <phoneticPr fontId="134" type="noConversion"/>
  </si>
  <si>
    <t>15号楼</t>
  </si>
  <si>
    <t>16号楼</t>
  </si>
  <si>
    <t>17号楼</t>
  </si>
  <si>
    <t>18号楼</t>
  </si>
  <si>
    <t>19号楼</t>
  </si>
  <si>
    <t>7号楼</t>
    <phoneticPr fontId="134" type="noConversion"/>
  </si>
  <si>
    <t>11号楼</t>
    <phoneticPr fontId="134" type="noConversion"/>
  </si>
  <si>
    <t>12号楼</t>
    <phoneticPr fontId="134" type="noConversion"/>
  </si>
  <si>
    <t>14号楼</t>
    <phoneticPr fontId="134" type="noConversion"/>
  </si>
  <si>
    <t>20号楼</t>
  </si>
  <si>
    <t>21号楼</t>
  </si>
  <si>
    <t>22号楼</t>
  </si>
  <si>
    <t>101幢</t>
    <phoneticPr fontId="134" type="noConversion"/>
  </si>
  <si>
    <t>地下</t>
  </si>
  <si>
    <t>二期</t>
    <phoneticPr fontId="134" type="noConversion"/>
  </si>
  <si>
    <t>2-17#住宅楼</t>
    <phoneticPr fontId="134" type="noConversion"/>
  </si>
  <si>
    <t>2-15#住宅及配套楼</t>
    <phoneticPr fontId="134" type="noConversion"/>
  </si>
  <si>
    <t>2-13#住宅楼</t>
    <phoneticPr fontId="134" type="noConversion"/>
  </si>
  <si>
    <t>2-11#住宅及配套楼</t>
    <phoneticPr fontId="134" type="noConversion"/>
  </si>
  <si>
    <t>2-9#住宅楼</t>
    <phoneticPr fontId="134" type="noConversion"/>
  </si>
  <si>
    <t>2-20#住宅楼</t>
    <phoneticPr fontId="134" type="noConversion"/>
  </si>
  <si>
    <t>2-6#住宅楼</t>
    <phoneticPr fontId="134" type="noConversion"/>
  </si>
  <si>
    <t>2-7#住宅楼</t>
    <phoneticPr fontId="134" type="noConversion"/>
  </si>
  <si>
    <t>2-5#住宅楼</t>
    <phoneticPr fontId="134" type="noConversion"/>
  </si>
  <si>
    <t>2-4#住宅楼</t>
    <phoneticPr fontId="134" type="noConversion"/>
  </si>
  <si>
    <t>2-19#住宅楼</t>
    <phoneticPr fontId="134" type="noConversion"/>
  </si>
  <si>
    <t>2-1#住宅楼</t>
    <phoneticPr fontId="134" type="noConversion"/>
  </si>
  <si>
    <t>2-3#住宅楼</t>
    <phoneticPr fontId="134" type="noConversion"/>
  </si>
  <si>
    <t>2-2#住宅楼</t>
    <phoneticPr fontId="134" type="noConversion"/>
  </si>
  <si>
    <t>2#地下车库</t>
    <phoneticPr fontId="134" type="noConversion"/>
  </si>
  <si>
    <t>现状楼号</t>
    <phoneticPr fontId="134" type="noConversion"/>
  </si>
  <si>
    <t>规证楼号</t>
    <phoneticPr fontId="134" type="noConversion"/>
  </si>
  <si>
    <t>三期</t>
    <phoneticPr fontId="134" type="noConversion"/>
  </si>
  <si>
    <t>车库</t>
    <phoneticPr fontId="134" type="noConversion"/>
  </si>
  <si>
    <t>地下设备</t>
    <phoneticPr fontId="134" type="noConversion"/>
  </si>
  <si>
    <t>地下设备</t>
    <phoneticPr fontId="134" type="noConversion"/>
  </si>
  <si>
    <t>2-8#住宅楼</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</si>
  <si>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</si>
  <si>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</si>
  <si>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</si>
  <si>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</si>
  <si>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</si>
  <si>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</si>
  <si>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</si>
  <si>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</si>
  <si>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</si>
  <si>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t>
    <phoneticPr fontId="134" type="noConversion"/>
  </si>
  <si>
    <t>三期</t>
    <phoneticPr fontId="3" type="noConversion"/>
  </si>
  <si>
    <t>二期</t>
    <phoneticPr fontId="3" type="noConversion"/>
  </si>
  <si>
    <t>是</t>
  </si>
  <si>
    <t>否</t>
  </si>
  <si>
    <t>地上</t>
  </si>
  <si>
    <t>住宅</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</si>
  <si>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</si>
  <si>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</si>
  <si>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</si>
  <si>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</si>
  <si>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</si>
  <si>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</si>
  <si>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</si>
  <si>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</si>
  <si>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</si>
  <si>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</si>
  <si>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</si>
  <si>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</si>
  <si>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</si>
  <si>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</si>
  <si>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</si>
  <si>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</si>
  <si>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</si>
  <si>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</si>
  <si>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</si>
  <si>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</si>
  <si>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</si>
  <si>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</si>
  <si>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</si>
  <si>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</si>
  <si>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</si>
  <si>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</si>
  <si>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</si>
  <si>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</si>
  <si>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</si>
  <si>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</si>
  <si>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</si>
  <si>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</si>
  <si>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</si>
  <si>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</si>
  <si>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</si>
  <si>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</si>
  <si>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</si>
  <si>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</si>
  <si>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</si>
  <si>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</si>
  <si>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</si>
  <si>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</si>
  <si>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</si>
  <si>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</si>
  <si>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</si>
  <si>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</si>
  <si>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</si>
  <si>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</si>
  <si>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北京市房山区城关中心区FS00-0230-0018地块R2二类居住用地</t>
  </si>
  <si>
    <t>北京市</t>
  </si>
  <si>
    <t>住宅用地</t>
  </si>
  <si>
    <t>房山区</t>
  </si>
  <si>
    <t>城关</t>
  </si>
  <si>
    <t>房山区城关街道</t>
  </si>
  <si>
    <t>京土储挂(房)[2023]028号</t>
  </si>
  <si>
    <t>≤2.8</t>
  </si>
  <si>
    <t>挂牌</t>
  </si>
  <si>
    <t>R2二类居住用地</t>
  </si>
  <si>
    <t>限地价,摇号/摇珠/抽签</t>
  </si>
  <si>
    <t>限地价</t>
  </si>
  <si>
    <t>未开工</t>
  </si>
  <si>
    <t>2023-05-26</t>
  </si>
  <si>
    <t>2023-06-15</t>
  </si>
  <si>
    <t>2023-06-30</t>
  </si>
  <si>
    <t>已成交</t>
  </si>
  <si>
    <t>北京建工地产有限责任公司</t>
  </si>
  <si>
    <t>北京建工集团有限责任公司</t>
  </si>
  <si>
    <t>居住70年商业40年办公50年</t>
  </si>
  <si>
    <t>4星</t>
  </si>
  <si>
    <t>北京市大兴区大兴新城西片区一期A组团土地一级开发项目DX00-0407-0002地块R2二类居住用地</t>
  </si>
  <si>
    <t>大兴区</t>
  </si>
  <si>
    <t>黄村北</t>
  </si>
  <si>
    <t>大兴区黄村镇</t>
  </si>
  <si>
    <t>京土储挂(兴)[2023]022号</t>
  </si>
  <si>
    <t>≤30%</t>
  </si>
  <si>
    <t>限地价,摇号/摇珠/抽签,限房价</t>
  </si>
  <si>
    <t>限地价,限房价</t>
  </si>
  <si>
    <t>2023-05-16</t>
  </si>
  <si>
    <t>2023-06-06</t>
  </si>
  <si>
    <t>2023-06-20</t>
  </si>
  <si>
    <t>中建三局城市投资运营有限公司、北京市大兴城镇建设综合开发集团有限公司</t>
  </si>
  <si>
    <t>北京兴创投资有限公司,中国建筑第三工程局有限公司</t>
  </si>
  <si>
    <t>住宅70年</t>
  </si>
  <si>
    <t>3星</t>
  </si>
  <si>
    <t>北京市通州经济开发区西区南扩区三、五、六期*棚户区改造项目北京城市副中心1102街区FZX-1102-6003、6004地块R2二类居住用地</t>
  </si>
  <si>
    <t>通州区</t>
  </si>
  <si>
    <t>张家湾</t>
  </si>
  <si>
    <t>副中心1102街区</t>
  </si>
  <si>
    <t>京土储挂(通)[2023]027号</t>
  </si>
  <si>
    <t>36米</t>
  </si>
  <si>
    <t>北京北投置业有限公司</t>
  </si>
  <si>
    <t>北京城市副中心投资建设集团有限公司</t>
  </si>
  <si>
    <t>2星</t>
  </si>
  <si>
    <t>北京经济技术开发区亦庄新城0202街区YZ00-0202-X47R1地块R2二类居住用地</t>
  </si>
  <si>
    <t>瀛海</t>
  </si>
  <si>
    <t>亦庄新城0202街区YZ00-0202-X47R1地块</t>
  </si>
  <si>
    <t>京土储挂(开)[2023]019号</t>
  </si>
  <si>
    <t>≤30</t>
  </si>
  <si>
    <t>≤80</t>
  </si>
  <si>
    <t>限地价,限房价,摇号/摇珠/抽签</t>
  </si>
  <si>
    <t>2023-05-12</t>
  </si>
  <si>
    <t>2023-06-02</t>
  </si>
  <si>
    <t>2023-06-16</t>
  </si>
  <si>
    <t>中皋置业有限公司</t>
  </si>
  <si>
    <t>富皋万泰集团有限公司</t>
  </si>
  <si>
    <t>居住70年、商业40年、办公50年</t>
  </si>
  <si>
    <t>北京市顺义区顺义新城第2街区SY00-0002-6022、SY00-0002-6023-1地块二类居住用地</t>
  </si>
  <si>
    <t>顺义区</t>
  </si>
  <si>
    <t>胜利街道、光明街道、石园街道、仁和镇</t>
  </si>
  <si>
    <t>顺义区顺义新城第2街区</t>
  </si>
  <si>
    <t>京土储挂(顺)[2023]017号</t>
  </si>
  <si>
    <t>2.2-2.4</t>
  </si>
  <si>
    <t>二类居住用地</t>
  </si>
  <si>
    <t>40%</t>
  </si>
  <si>
    <t>2023-05-11</t>
  </si>
  <si>
    <t>2023-05-31</t>
  </si>
  <si>
    <t>2023-06-14</t>
  </si>
  <si>
    <t>石家庄创世纪房地产开发有限公司</t>
  </si>
  <si>
    <t>北京市顺义区顺义新城第20街区SY00-0020-6001地块二类居住用地</t>
  </si>
  <si>
    <t>后沙峪</t>
  </si>
  <si>
    <t>顺义新城第20街区</t>
  </si>
  <si>
    <t>京土储挂(顺)[2023]011号</t>
  </si>
  <si>
    <t>30%</t>
  </si>
  <si>
    <t>限地价,摇号/摇珠/抽签,现房销售</t>
  </si>
  <si>
    <t>限地价,现房销售,摇号/摇珠/抽签</t>
  </si>
  <si>
    <t>地块内设置社区养老服务驿站1处(500平方米)</t>
  </si>
  <si>
    <t>2023-04-28</t>
  </si>
  <si>
    <t>2023-05-18</t>
  </si>
  <si>
    <t>2023-06-01</t>
  </si>
  <si>
    <t>中能建城市投资发展有限公司</t>
  </si>
  <si>
    <t>北京经济技术开发区亦庄新城0510街区YZ00-0510-0032地块R2二类居住用地</t>
  </si>
  <si>
    <t>台湖</t>
  </si>
  <si>
    <t>亦庄新城0510街区YZ00-0510-0032地块</t>
  </si>
  <si>
    <t>京土储挂(开)[2023]009号</t>
  </si>
  <si>
    <t>招商局地产(北京)有限公司</t>
  </si>
  <si>
    <t>招商局蛇口工业区控股股份有限公司</t>
  </si>
  <si>
    <t>北京市顺义区顺义新城第19街区19-69地块二类居住用地</t>
  </si>
  <si>
    <t>顺义区顺义新城</t>
  </si>
  <si>
    <t>京土储挂(顺)[2023]010号</t>
  </si>
  <si>
    <t>地块内设置社区养老服务驿站1处(1000平方米)</t>
  </si>
  <si>
    <t>福建雄旺房地产开发有限公司</t>
  </si>
  <si>
    <t>北京市通州区梨园镇东小马土地一级开发项目FZX-0306-6009地块R2二类居住用地国有建设用地使用权出让</t>
  </si>
  <si>
    <t>梨园</t>
  </si>
  <si>
    <t>通州区梨园镇</t>
  </si>
  <si>
    <t>京土储挂(通)〔2023〕006号</t>
  </si>
  <si>
    <t>2023-03-27</t>
  </si>
  <si>
    <t>2023-04-17</t>
  </si>
  <si>
    <t>居住*70年、商业40*年、办公*50*年</t>
  </si>
  <si>
    <t>大兴区瀛海镇区级统筹集建地YZ00-0803-2006、2029、2031地块F81集体产业用地</t>
  </si>
  <si>
    <t>瀛海镇</t>
  </si>
  <si>
    <t>京规自集使挂(兴)[2023]004号</t>
  </si>
  <si>
    <t>F81集体产业用地(建设共有产权住房)</t>
  </si>
  <si>
    <t>2023-03-20</t>
  </si>
  <si>
    <t>2023-04-09</t>
  </si>
  <si>
    <t>2023-04-24</t>
  </si>
  <si>
    <t>北京大兴发展集地开发有限公司</t>
  </si>
  <si>
    <t>北京兴创投资有限公司,北京万兴建筑集团有限公司</t>
  </si>
  <si>
    <t>70年</t>
  </si>
  <si>
    <t>大兴区瀛海镇区级统筹集建地YZ00-0803-2019、2057地块F81集体产业用地</t>
  </si>
  <si>
    <t>大兴区瀛海镇域西侧,京台高速公路以西</t>
  </si>
  <si>
    <t>京规自集使挂(兴)[2023]005号</t>
  </si>
  <si>
    <t>2023-04-11</t>
  </si>
  <si>
    <t>2023-04-23</t>
  </si>
  <si>
    <t>湖北文旅园区建设发展集团有限公司、中建壹品投资发展有限公司</t>
  </si>
  <si>
    <t>湖北文化旅游集团有限公司,中国建筑第三工程局有限公司</t>
  </si>
  <si>
    <t>北京市昌平新城东区三期土地一级开发项目CP00-1002-0001地块R2二类居住用地</t>
  </si>
  <si>
    <t>昌平区</t>
  </si>
  <si>
    <t>南邵</t>
  </si>
  <si>
    <t>昌平区南邵镇</t>
  </si>
  <si>
    <t>京土储挂(昌)[2023]002号</t>
  </si>
  <si>
    <t>36(局部45)</t>
  </si>
  <si>
    <t>2023-02-17</t>
  </si>
  <si>
    <t>2023-03-09</t>
  </si>
  <si>
    <t>2023-03-23</t>
  </si>
  <si>
    <t>北京首都开发股份有限公司</t>
  </si>
  <si>
    <t>北京市昌平区朱辛庄新区二期土地一级开发项目CP01-0801-0028地块R2二类居住用地</t>
  </si>
  <si>
    <t>回龙观</t>
  </si>
  <si>
    <t>昌平区史各庄街道</t>
  </si>
  <si>
    <t>京土储挂(昌)[2023]003号</t>
  </si>
  <si>
    <t>大华集团大连华旅置业有限公司</t>
  </si>
  <si>
    <t>大华（集团）有限公司</t>
  </si>
  <si>
    <t>北京市房山区良乡大学城主园区FS00-0120-0023地块R2二类居住用地</t>
  </si>
  <si>
    <t>长阳</t>
  </si>
  <si>
    <t>良乡高教园区</t>
  </si>
  <si>
    <t>京土储挂(房)[2022]077号</t>
  </si>
  <si>
    <t/>
  </si>
  <si>
    <t>限地价,现房销售,摇号/摇珠/抽签,限房价</t>
  </si>
  <si>
    <t>2022-12-30</t>
  </si>
  <si>
    <t>2023-01-19</t>
  </si>
  <si>
    <t>2023-02-07</t>
  </si>
  <si>
    <t>中建智地置业有限公司</t>
  </si>
  <si>
    <t>中国建筑一局（集团）有限公司</t>
  </si>
  <si>
    <t>北京市石景山区老古城综合改造土地一级开发项目1608-626地块R2二类居住用地</t>
  </si>
  <si>
    <t>石景山区</t>
  </si>
  <si>
    <t>苹果园、八角、金顶街</t>
  </si>
  <si>
    <t>石景山区老古城</t>
  </si>
  <si>
    <t>京土储挂(石)〔2022〕067号</t>
  </si>
  <si>
    <t>地块内含C级机构养老设施一处,建筑规模4000平方米;</t>
  </si>
  <si>
    <t>2022-10-25</t>
  </si>
  <si>
    <t>2022-11-14</t>
  </si>
  <si>
    <t>2022-11-28</t>
  </si>
  <si>
    <t>2022-11-29</t>
  </si>
  <si>
    <t>北京中海地产有限公司</t>
  </si>
  <si>
    <t>中国海外发展有限公司</t>
  </si>
  <si>
    <t>5星</t>
  </si>
  <si>
    <t>北京市门头沟区永定镇南区棚户区改造和环境整治项目MC00-0015-6050地块R2二类居住用地</t>
  </si>
  <si>
    <t>门头沟区</t>
  </si>
  <si>
    <t>永定</t>
  </si>
  <si>
    <t>门头沟区永定镇</t>
  </si>
  <si>
    <t>京土储挂(门)〔2022〕068号</t>
  </si>
  <si>
    <t>中建方程投资发展集团有限公司、中建信和地产有限公司</t>
  </si>
  <si>
    <t>中建方程投资发展集团有限公司,中国建筑第五工程局有限公司</t>
  </si>
  <si>
    <t>北京市通州区永顺镇邓家窑及永顺村南部地块土地一级开发项目FZX-0501-6007地块R2二类居住用地</t>
  </si>
  <si>
    <t>城市副中心0501街区</t>
  </si>
  <si>
    <t>京土储挂(通)〔2022〕069号</t>
  </si>
  <si>
    <t>限地价,现房销售,摇号/摇珠/抽签,90/70</t>
  </si>
  <si>
    <t>限地价,90/70</t>
  </si>
  <si>
    <t>北京城建兴华地产有限公司</t>
  </si>
  <si>
    <t>北京城建投资发展股份有限公司</t>
  </si>
  <si>
    <t>居住70年商业40年北办公50年</t>
  </si>
  <si>
    <t>北京市昌平区中关村生命科学园三期及“北四村”棚户区改造土地开发A地块CP02-0101-6004、6005地块R2二类居住用地</t>
  </si>
  <si>
    <t>昌平区回龙观街道</t>
  </si>
  <si>
    <t>京土储挂(昌)[2022]053号</t>
  </si>
  <si>
    <t>cp02-0101-6004地块2.8、6005地块2.7</t>
  </si>
  <si>
    <t>第三批</t>
  </si>
  <si>
    <t>CP02-0101-6004*地块内竞得人需建设地上建筑规模*4000*平方米残疾人托养所,地上建筑规模*300*平方米助残服务中心,无偿移交相关部门。</t>
  </si>
  <si>
    <t>2022-08-18</t>
  </si>
  <si>
    <t>2022-09-07</t>
  </si>
  <si>
    <t>2022-09-22</t>
  </si>
  <si>
    <t>2022-09-23</t>
  </si>
  <si>
    <t>北京兆昌房地产开发有限公司</t>
  </si>
  <si>
    <t>建发房地产集团有限公司</t>
  </si>
  <si>
    <t>北京经济技术开发区亦庄新城0510街区YZ00-0510-0033地块R2二类居住用地</t>
  </si>
  <si>
    <t>亦庄新城0510街区YZ00-0510-0033地块</t>
  </si>
  <si>
    <t>京土储挂(开)[2022]059号</t>
  </si>
  <si>
    <t>≤2.0</t>
  </si>
  <si>
    <t>45米</t>
  </si>
  <si>
    <t>限地价,摇号/摇珠/抽签,90/70</t>
  </si>
  <si>
    <t>北京亦庄博润置业有限公司、北京亦庄久筑工程管理有限公司</t>
  </si>
  <si>
    <t>北京亦庄投资控股有限公司</t>
  </si>
  <si>
    <t>北京市密云区十里堡镇王各庄棚户区改造项目MY00-0500-0001地块R2二类居住用地</t>
  </si>
  <si>
    <t>密云区</t>
  </si>
  <si>
    <t>西田各庄、十里堡</t>
  </si>
  <si>
    <t>密云区十里堡镇王各庄村</t>
  </si>
  <si>
    <t>京土储挂(密)[2022]058号</t>
  </si>
  <si>
    <t>托老所800平方米、老年活动场站200-250平方米</t>
  </si>
  <si>
    <t>北京住总置业有限公司、北京密云城市建设投资集团有限公司、北京建工地产有限责任公司、北京众智房地产开发有限公司</t>
  </si>
  <si>
    <t>北京密云经济开发区有限责任公司,北京住总集团有限责任公司,北京建工集团有限责任公司,北京密云城市建设投资集团有限公司</t>
  </si>
  <si>
    <t>1星</t>
  </si>
  <si>
    <t>北京市密云区水源路南侧B地块土地一级开发项目MY00-0104-6054地块R2二类居住用地</t>
  </si>
  <si>
    <t>密云</t>
  </si>
  <si>
    <t>密云区水源路南侧</t>
  </si>
  <si>
    <t>京土储挂(密)[2022]057号</t>
  </si>
  <si>
    <t>北京众智房地产开发有限公司</t>
  </si>
  <si>
    <t>北京密云经济开发区有限责任公司</t>
  </si>
  <si>
    <t>北京市顺义区顺义新城第1街区SY00-0001-0320地块R2二类居住用地</t>
  </si>
  <si>
    <t>京土储挂(顺)[2022]054号</t>
  </si>
  <si>
    <t>北京盟科置业有限公司、北京天竺房地产开发有限公司</t>
  </si>
  <si>
    <t>北京市顺义区国有资本经营管理有限公司,龙湖集团控股有限公司</t>
  </si>
  <si>
    <t>北京市昌平区北七家镇平西府土地一级开发项目B-02地块(CP-121101044009-012地块)R2二类居住用地</t>
  </si>
  <si>
    <t>东小口</t>
  </si>
  <si>
    <t>昌平区北七家镇</t>
  </si>
  <si>
    <t>京土储挂(昌)[2022]036号</t>
  </si>
  <si>
    <t>≤2.5</t>
  </si>
  <si>
    <t>第二批</t>
  </si>
  <si>
    <t>限地价,现房销售,摇号/摇珠/抽签,90/70,限房价</t>
  </si>
  <si>
    <t>限房价,限地价,90/70,现房销售</t>
  </si>
  <si>
    <t>增建满足老年人日常需求的养老服务设施(不低于500平方米不超过1000平方米),包括但不限于社区养老服务设施、医疗卫生设施,涉</t>
  </si>
  <si>
    <t>2022-04-19</t>
  </si>
  <si>
    <t>2022-05-10</t>
  </si>
  <si>
    <t>2022-05-31</t>
  </si>
  <si>
    <t>2022-06-01</t>
  </si>
  <si>
    <t>华润置地开发(北京)有限公司、中能建城市投资发展有限公司</t>
  </si>
  <si>
    <t>中能建城市投资发展有限公司,华润置地有限公司</t>
  </si>
  <si>
    <t>居住70年</t>
  </si>
  <si>
    <t>北京市昌平区六环路土城出口土城新村改造土地一级开发项目A-07地块R2二类居住用地</t>
  </si>
  <si>
    <t>昌平区马池口镇</t>
  </si>
  <si>
    <t>京土储挂(昌)[2022]034号</t>
  </si>
  <si>
    <t>≤1.8</t>
  </si>
  <si>
    <t>限房价,限地价,报高标准商品住宅建设方案,90/70</t>
  </si>
  <si>
    <t>限房价,限地价,90/70</t>
  </si>
  <si>
    <t>北京经济技术开发区亦庄新城0510街区YZ00-0510-0017地块R2二类居住用地</t>
  </si>
  <si>
    <t>亦庄新城0510街区YZ00-0510-0017地块</t>
  </si>
  <si>
    <t>京土储挂(开)[2022]*017*号</t>
  </si>
  <si>
    <t>第一批</t>
  </si>
  <si>
    <t>限房价,限地价,90/70,摇号/摇珠/抽签</t>
  </si>
  <si>
    <t>2022-01-07</t>
  </si>
  <si>
    <t>2022-01-28</t>
  </si>
  <si>
    <t>2022-02-16</t>
  </si>
  <si>
    <t>2022-02-17</t>
  </si>
  <si>
    <t>长春创诚房地产开发有限公司</t>
  </si>
  <si>
    <t>绿城中国控股有限公司</t>
  </si>
  <si>
    <t>北京市大兴区旧宫镇绿化隔离地区建设旧村二期1号地土地一级开发项目A2-2地块R2二类居住用地</t>
  </si>
  <si>
    <t>大兴区旧宫镇</t>
  </si>
  <si>
    <t>京土储挂(开)[2022]016号</t>
  </si>
  <si>
    <t>限房价,限地价,报高标准商品住宅建设方案,摇号/摇珠/抽签</t>
  </si>
  <si>
    <t>限房价,限地价</t>
  </si>
  <si>
    <t>京土储挂(开)[2022]*016*号</t>
  </si>
  <si>
    <t>中海企业发展集团有限公司</t>
  </si>
  <si>
    <t>北京市昌平区中关村生命科学园三期及“北四村”棚户区改造土地开发A地块CP02-0101-6006地块R2二类居住用地(配建“保障性租赁住房”)</t>
  </si>
  <si>
    <t>京土储挂(昌)[2022]011号</t>
  </si>
  <si>
    <t>保障性租赁住房</t>
  </si>
  <si>
    <t>限房价,限地价,90/70,摇号/摇珠/抽签,现房销售</t>
  </si>
  <si>
    <t>太仓建仓房地产开发有限公司</t>
  </si>
  <si>
    <t>北京市石景山区首钢园区东南区土地一级开发项目1612-824地块R2二类居住用地</t>
  </si>
  <si>
    <t>石景山区古城南街东侧</t>
  </si>
  <si>
    <t>京土储挂(石)[2022]005号</t>
  </si>
  <si>
    <t>含B级托老所一处,建筑规模约800平方米,</t>
  </si>
  <si>
    <t>华润置地开发(北京)有限公司</t>
  </si>
  <si>
    <t>华润置地有限公司</t>
  </si>
  <si>
    <t>北京市顺义区顺义新城第13街区SY00-0013-6050、6053地块二类居住用地</t>
  </si>
  <si>
    <t>马坡</t>
  </si>
  <si>
    <t>顺义区顺义新城13街区</t>
  </si>
  <si>
    <t>京土储挂(顺)[2022]013号</t>
  </si>
  <si>
    <t>已开工</t>
  </si>
  <si>
    <t>保利(北京)房地产开发有限公司、北京金地兴业房地产有限公司</t>
  </si>
  <si>
    <t>金地（集团）股份有限公司,保利发展控股集团股份有限公司</t>
  </si>
  <si>
    <t>北京市房山区拱辰街道办事处FS00-LX05-0045地块R2二类居住用地</t>
  </si>
  <si>
    <t>房山区拱辰街道办事处</t>
  </si>
  <si>
    <t>京土储挂(房)[2022]014号</t>
  </si>
  <si>
    <t>限房价,限地价,报高标准商品住宅建设方案,现房销售</t>
  </si>
  <si>
    <t>北京市昌平区中关村国家工程技术创新基地C-30地块R2二类居住用地</t>
  </si>
  <si>
    <t>昌平区沙河镇</t>
  </si>
  <si>
    <t>京土储挂(昌)[2022]010号</t>
  </si>
  <si>
    <t>北京市房山区拱辰街道FS00-0111-0017,0019地块R2二类居住用地(配建“保障性租赁住房”)</t>
  </si>
  <si>
    <t>房山区拱辰街道东羊庄村</t>
  </si>
  <si>
    <t>京土整储挂(房)[2021]084号</t>
  </si>
  <si>
    <t>25%</t>
  </si>
  <si>
    <t>限房价,限地价,报高标准商品住宅建设方案</t>
  </si>
  <si>
    <t>开工中</t>
  </si>
  <si>
    <t>2021-11-19</t>
  </si>
  <si>
    <t>2021-12-10</t>
  </si>
  <si>
    <t>2021-12-24</t>
  </si>
  <si>
    <t>2021-12-27</t>
  </si>
  <si>
    <t>居住70年,商业40年,办公54年</t>
  </si>
  <si>
    <t>北京市密云区水源路南侧MY00-0104-6016等地块R2二类居住用地</t>
  </si>
  <si>
    <t>京土整储挂(密)[2021]087号</t>
  </si>
  <si>
    <t>限房价,限地价,摇号/摇珠/抽签,现房销售</t>
  </si>
  <si>
    <t>北京祥业房地产有限公司、北京首都开发股份有限公司、北京旭科置业有限公司和北京密云城市建设投资开发有限公司</t>
  </si>
  <si>
    <t>北京住总集团有限责任公司,旭辉控股*（集团）*有限公司,北京密云城市建设投资集团有限公司,北京首都开发股份有限公司</t>
  </si>
  <si>
    <t>居住70年,商业40年,办公53年</t>
  </si>
  <si>
    <t>北京市门头沟区永定镇MC00-0605-0002,0005等地块R2二类居住用地(配建“保障性租赁住房”)</t>
  </si>
  <si>
    <t>京土整储挂(门)[2021]086号</t>
  </si>
  <si>
    <t>北京金地兴业房地产有限公司</t>
  </si>
  <si>
    <t>金地（集团）股份有限公司</t>
  </si>
  <si>
    <t>居住70年,商业40年,办公55年</t>
  </si>
  <si>
    <t>北京市门头沟区永定镇MC00-0605-0001,0003等地块R2二类居住用地(配建“保障性租赁住房”)</t>
  </si>
  <si>
    <t>京土整储挂(门)[2021]085号</t>
  </si>
  <si>
    <t>北京方兴亦城置业有限公司</t>
  </si>
  <si>
    <t>中国金茂控股集团有限公司</t>
  </si>
  <si>
    <t>居住70年,商业40年,办公57年</t>
  </si>
  <si>
    <t>北京市大兴区瀛海镇集体经营性建设用地入市试点(一期)*YZ00-0803-0012*地块</t>
  </si>
  <si>
    <t>大兴区瀛海镇,东至瀛坤路,西至瀛达路,北至瀛元街,南至瀛成路</t>
  </si>
  <si>
    <t>YZ00-0803-0012</t>
  </si>
  <si>
    <t>F81绿隔产业用地(建设人才公寓)</t>
  </si>
  <si>
    <t>2021-11-16</t>
  </si>
  <si>
    <t>2021-12-06</t>
  </si>
  <si>
    <t>2021-12-20</t>
  </si>
  <si>
    <t>京规自集使挂*(兴)*[2021]002*号</t>
  </si>
  <si>
    <t>北京博大新元房地产开发有限公司</t>
  </si>
  <si>
    <t>北京亦庄国际人才发展集团有限公司</t>
  </si>
  <si>
    <t>北京市昌平区昌平镇东环路136号(原六亭饭店)CP00-0205-0021地块R2二类居住用地</t>
  </si>
  <si>
    <t>城北街道</t>
  </si>
  <si>
    <t>昌平区城北街道</t>
  </si>
  <si>
    <t>京土整储挂(昌)[2021]059号</t>
  </si>
  <si>
    <t>60米</t>
  </si>
  <si>
    <t>限房价,限地价,摇号/摇珠/抽签</t>
  </si>
  <si>
    <t>2021-08-30</t>
  </si>
  <si>
    <t>2021-09-23</t>
  </si>
  <si>
    <t>2021-10-13</t>
  </si>
  <si>
    <t>中铁置业集团北京有限公司</t>
  </si>
  <si>
    <t>中国中铁股份有限公司</t>
  </si>
  <si>
    <t>北京市石景山区首钢园区东南区土地一级开发项目1612-829地块F1住宅混合公建用地(配建“保障性租赁住房”)</t>
  </si>
  <si>
    <t>京土整储挂(石)[2021]051号</t>
  </si>
  <si>
    <t>F1住宅混合公建用地</t>
  </si>
  <si>
    <t>2021-10-12</t>
  </si>
  <si>
    <t>北京市大兴区西红门镇DX04-0102-6011、6014地块R2二类居住用地(配建“保障性租赁住房”)</t>
  </si>
  <si>
    <t>西红门</t>
  </si>
  <si>
    <t>大兴区西红门镇</t>
  </si>
  <si>
    <t>京土整储挂(兴)[2021]061号</t>
  </si>
  <si>
    <t>＜2.5</t>
  </si>
  <si>
    <t>华润置地开发(北京)有限公司、中铁置业集团北京有限公司</t>
  </si>
  <si>
    <t>华润置地有限公司,中国中铁股份有限公司</t>
  </si>
  <si>
    <t>北京市房山区长沟镇新型城镇化建设北部浅山区土地一级开发项目FS12-0100-6017地块R2二类居住用地</t>
  </si>
  <si>
    <t>大石窝、长沟</t>
  </si>
  <si>
    <t>房山区长沟镇</t>
  </si>
  <si>
    <t>京土整储挂(房)[2021]067号</t>
  </si>
  <si>
    <t>北京城建房地产开发有限公司</t>
  </si>
  <si>
    <t>北京市密云区檀营乡6005地块R2二类居住用地</t>
  </si>
  <si>
    <t>檀营满族蒙族乡</t>
  </si>
  <si>
    <t>密云区檀营乡</t>
  </si>
  <si>
    <t>京土整储挂(密)[2021]026号</t>
  </si>
  <si>
    <t>≤30米(局部45米)</t>
  </si>
  <si>
    <t>限地价,报高标准商品住宅建设方案</t>
  </si>
  <si>
    <t>2021-03-31</t>
  </si>
  <si>
    <t>2021-04-22</t>
  </si>
  <si>
    <t>2021-05-08</t>
  </si>
  <si>
    <t>2021-05-25</t>
  </si>
  <si>
    <t>北京祥业房地产有限公司、北京首都开发股份有限公司、北京兴添咨询服务有限公司、北京花亿里房地产开发有限公司</t>
  </si>
  <si>
    <t>北京住总集团有限责任公司,北京首都开发股份有限公司</t>
  </si>
  <si>
    <t>北京市昌平区东小口镇马连店1803-610地块R2二类居住用地</t>
  </si>
  <si>
    <t>昌平区东小口马连店</t>
  </si>
  <si>
    <t>京土整储挂(昌)[2021]024号</t>
  </si>
  <si>
    <t>80米</t>
  </si>
  <si>
    <t>公共租赁房</t>
  </si>
  <si>
    <t>限地价,竞配建,90/70</t>
  </si>
  <si>
    <t>2021-05-11</t>
  </si>
  <si>
    <t>华通置业有限公司、北京领华房地产开发有限公司、北京嘉晨置业合伙企业(有限合伙)</t>
  </si>
  <si>
    <t>卓越置业集团有限公司,中交地产股份有限公司</t>
  </si>
  <si>
    <t>北京市昌平区北七家镇中心起步区(暨海鶄落新村建设)土地一级开发项目一期HQL-09地块R2二类居住用地</t>
  </si>
  <si>
    <t>北七家</t>
  </si>
  <si>
    <t>京土整储挂(昌)[2021]022号</t>
  </si>
  <si>
    <t>≤1.6</t>
  </si>
  <si>
    <t>24米</t>
  </si>
  <si>
    <t>限地价,竞配建,报高标准商品住宅建设方案</t>
  </si>
  <si>
    <t>限地价,竞配建</t>
  </si>
  <si>
    <t>北京天时汤山房地产投资发展有限公司</t>
  </si>
  <si>
    <t>北京市大兴区榆垡镇中心区DX09-0102-0027、0044地块R2二类居住用地</t>
  </si>
  <si>
    <t>榆垡</t>
  </si>
  <si>
    <t>大兴区榆垡镇</t>
  </si>
  <si>
    <t>京土整储挂(兴)[2021]018号</t>
  </si>
  <si>
    <t>保利(北京)房地产开发有限公司、北京新航城建设实业发展有限公司、北京首都开发股份有限公司</t>
  </si>
  <si>
    <t>北京亦庄投资控股有限公司,保利发展控股集团股份有限公司,北京首都开发股份有限公司</t>
  </si>
  <si>
    <t>北京市顺义新城第23街区新国展三期项目(原22街区南部)22-02-007-1、22-02-007-2地块R2二类居住用地</t>
  </si>
  <si>
    <t>顺义新城第23街区</t>
  </si>
  <si>
    <t>京土整储挂(顺)[2020]062号</t>
  </si>
  <si>
    <t>≤35%</t>
  </si>
  <si>
    <t>限地价,竞自持,竞配建</t>
  </si>
  <si>
    <t>2020-12-30</t>
  </si>
  <si>
    <t>2021-01-19</t>
  </si>
  <si>
    <t>2021-02-02</t>
  </si>
  <si>
    <t>北京润置商业运营管理有限公司、保利(北京)房地产开发有限公司</t>
  </si>
  <si>
    <t>华润置地有限公司,保利发展控股集团股份有限公司</t>
  </si>
  <si>
    <t>北京市顺义区顺义新城第13街区SY00-0013-6055、6056地块二类居住用地</t>
  </si>
  <si>
    <t>顺义区新城第13街区</t>
  </si>
  <si>
    <t>京土整储挂(顺)[2020]054号</t>
  </si>
  <si>
    <t>≤30米</t>
  </si>
  <si>
    <t>限地价,竞自持,报高标准商品住宅建设方案</t>
  </si>
  <si>
    <t>2020-12-23</t>
  </si>
  <si>
    <t>2021-01-12</t>
  </si>
  <si>
    <t>2021-01-26</t>
  </si>
  <si>
    <t>北京宏远泰业科技有限公司、保利(北京)房地产开发有限公司</t>
  </si>
  <si>
    <t>北京市大兴区旧宫镇南郊农场棚户区改造项目DX05-0200-0037、0038、6002等地块R2二类居住用地</t>
  </si>
  <si>
    <t>旧宫</t>
  </si>
  <si>
    <t>京土整储挂(开)【2020】056号</t>
  </si>
  <si>
    <t>≤2.3</t>
  </si>
  <si>
    <t>北京盛宏辰悦房地产开发有限公司</t>
  </si>
  <si>
    <t>合生创展集团有限公司</t>
  </si>
  <si>
    <t>北京市石景山区北辛安棚户区改造B区土地开发项目1608-673-A地块二类居住用地</t>
  </si>
  <si>
    <t>石景山区北辛安地区</t>
  </si>
  <si>
    <t>京土整储挂(石)[2020]044号</t>
  </si>
  <si>
    <t>≤80米</t>
  </si>
  <si>
    <t>2020-11-10</t>
  </si>
  <si>
    <t>2021-01-14</t>
  </si>
  <si>
    <t>北京鑫安兴业房地产开发有限公司</t>
  </si>
  <si>
    <t>北京市怀柔区雁栖镇陈各庄村HR00-0010-6040地块R2二类居住用地</t>
  </si>
  <si>
    <t>怀柔区</t>
  </si>
  <si>
    <t>怀北、怀柔</t>
  </si>
  <si>
    <t>怀柔区雁栖镇陈各庄村</t>
  </si>
  <si>
    <t>京土整储挂(怀)[2020]031号</t>
  </si>
  <si>
    <t>2020-07-13</t>
  </si>
  <si>
    <t>2020-08-03</t>
  </si>
  <si>
    <t>2020-08-17</t>
  </si>
  <si>
    <t>北京科控置地有限公司</t>
  </si>
  <si>
    <t>北京科技园建设（集团）股份有限公司</t>
  </si>
  <si>
    <t>正常</t>
  </si>
  <si>
    <t>抵押</t>
  </si>
  <si>
    <t>房地产抵押价值</t>
  </si>
  <si>
    <t>企业</t>
  </si>
  <si>
    <t>基础工程</t>
    <phoneticPr fontId="3" type="noConversion"/>
  </si>
  <si>
    <t>地上建筑工程</t>
    <phoneticPr fontId="3" type="noConversion"/>
  </si>
  <si>
    <t>安装工程</t>
    <phoneticPr fontId="3" type="noConversion"/>
  </si>
  <si>
    <t>精装</t>
    <phoneticPr fontId="3" type="noConversion"/>
  </si>
  <si>
    <t>工程进度</t>
  </si>
  <si>
    <t>未包含在土地购买价格中</t>
  </si>
  <si>
    <t>全部缴纳</t>
  </si>
  <si>
    <t>已包含在土地取得成本中</t>
  </si>
  <si>
    <t>较好</t>
    <phoneticPr fontId="30" type="noConversion"/>
  </si>
  <si>
    <t>一般</t>
    <phoneticPr fontId="30" type="noConversion"/>
  </si>
  <si>
    <t>较好</t>
    <phoneticPr fontId="30" type="noConversion"/>
  </si>
  <si>
    <t>八级</t>
    <phoneticPr fontId="30" type="noConversion"/>
  </si>
  <si>
    <t>七级</t>
    <phoneticPr fontId="30" type="noConversion"/>
  </si>
  <si>
    <t>九级</t>
    <phoneticPr fontId="30" type="noConversion"/>
  </si>
  <si>
    <t>六通</t>
    <phoneticPr fontId="30" type="noConversion"/>
  </si>
  <si>
    <t>五通</t>
    <phoneticPr fontId="30" type="noConversion"/>
  </si>
  <si>
    <t>七通</t>
    <phoneticPr fontId="30" type="noConversion"/>
  </si>
  <si>
    <t>五通</t>
    <phoneticPr fontId="30" type="noConversion"/>
  </si>
  <si>
    <t>地下车库</t>
  </si>
  <si>
    <t>项目模式</t>
  </si>
  <si>
    <t>售价</t>
  </si>
  <si>
    <t>收益法</t>
  </si>
  <si>
    <t>自定义</t>
  </si>
  <si>
    <t>钢混</t>
  </si>
  <si>
    <t>非生产用房</t>
  </si>
  <si>
    <t>在建（套用方法）</t>
  </si>
  <si>
    <t>中海云筑</t>
    <phoneticPr fontId="134" type="noConversion"/>
  </si>
  <si>
    <t>大兴金茂悦</t>
    <phoneticPr fontId="134" type="noConversion"/>
  </si>
  <si>
    <t>中海云熙</t>
    <phoneticPr fontId="134" type="noConversion"/>
  </si>
  <si>
    <t>正常</t>
    <phoneticPr fontId="24" type="noConversion"/>
  </si>
  <si>
    <t>正常</t>
    <phoneticPr fontId="24" type="noConversion"/>
  </si>
  <si>
    <t>住宅</t>
    <phoneticPr fontId="24" type="noConversion"/>
  </si>
  <si>
    <t>一般</t>
    <phoneticPr fontId="24" type="noConversion"/>
  </si>
  <si>
    <t>七通</t>
    <phoneticPr fontId="24" type="noConversion"/>
  </si>
  <si>
    <t>七通</t>
    <phoneticPr fontId="24" type="noConversion"/>
  </si>
  <si>
    <t>较好</t>
    <phoneticPr fontId="24" type="noConversion"/>
  </si>
  <si>
    <t>较好</t>
    <phoneticPr fontId="24" type="noConversion"/>
  </si>
  <si>
    <t>高层</t>
    <phoneticPr fontId="24" type="noConversion"/>
  </si>
  <si>
    <t>小高层</t>
    <phoneticPr fontId="24" type="noConversion"/>
  </si>
  <si>
    <t>钢混</t>
    <phoneticPr fontId="24" type="noConversion"/>
  </si>
  <si>
    <t>精装</t>
    <phoneticPr fontId="24" type="noConversion"/>
  </si>
  <si>
    <t>专业</t>
    <phoneticPr fontId="24" type="noConversion"/>
  </si>
  <si>
    <t>精装</t>
    <phoneticPr fontId="24" type="noConversion"/>
  </si>
  <si>
    <t>毛坯</t>
    <phoneticPr fontId="24" type="noConversion"/>
  </si>
  <si>
    <t>普装</t>
    <phoneticPr fontId="24" type="noConversion"/>
  </si>
  <si>
    <t>简装</t>
    <phoneticPr fontId="24" type="noConversion"/>
  </si>
  <si>
    <t>成本法</t>
  </si>
  <si>
    <t>假设开发法</t>
  </si>
  <si>
    <t>总价</t>
  </si>
  <si>
    <t>成本比率</t>
  </si>
  <si>
    <t>较差</t>
    <phoneticPr fontId="30" type="noConversion"/>
  </si>
  <si>
    <t>较差</t>
    <phoneticPr fontId="24" type="noConversion"/>
  </si>
  <si>
    <t>较差</t>
    <phoneticPr fontId="30" type="noConversion"/>
  </si>
  <si>
    <t>较差</t>
    <phoneticPr fontId="24" type="noConversion"/>
  </si>
  <si>
    <t>七级</t>
    <phoneticPr fontId="30" type="noConversion"/>
  </si>
  <si>
    <t>八级</t>
    <phoneticPr fontId="30" type="noConversion"/>
  </si>
  <si>
    <t>九级</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</si>
</sst>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lignment vertical="center"/>
    </xf>
    <xf numFmtId="0" fontId="107"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19" applyNumberFormat="1" applyFont="1"/>
    <xf numFmtId="0" fontId="107" fillId="0" borderId="0" xfId="19" applyNumberFormat="1" applyFont="1"/>
    <xf numFmtId="0" fontId="107" fillId="0" borderId="0" xfId="0" applyFont="1" applyAlignment="1"/>
    <xf numFmtId="0" fontId="107" fillId="9" borderId="0" xfId="0" applyFont="1" applyFill="1" applyAlignment="1"/>
    <xf numFmtId="0" fontId="107" fillId="0" borderId="0" xfId="0" applyFont="1" applyFill="1" applyAlignment="1"/>
    <xf numFmtId="0" fontId="77" fillId="12" borderId="0" xfId="0" applyFont="1" applyFill="1" applyAlignment="1" applyProtection="1">
      <alignment horizontal="center" vertical="center"/>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applyFont="1"/>
    <xf numFmtId="14" fontId="107" fillId="0" borderId="0" xfId="19" applyNumberFormat="1" applyFont="1"/>
    <xf numFmtId="0" fontId="107" fillId="0" borderId="0" xfId="19" applyNumberFormat="1" applyFont="1"/>
    <xf numFmtId="0" fontId="107" fillId="0" borderId="1" xfId="0" applyFont="1" applyFill="1" applyBorder="1">
      <alignment vertical="center"/>
    </xf>
    <xf numFmtId="0" fontId="107" fillId="0" borderId="5" xfId="0" applyFont="1" applyFill="1" applyBorder="1" applyAlignment="1">
      <alignment horizontal="center" vertical="center"/>
    </xf>
    <xf numFmtId="0" fontId="107" fillId="0" borderId="3" xfId="0" applyFont="1" applyFill="1" applyBorder="1" applyAlignment="1">
      <alignment horizontal="center" vertical="center"/>
    </xf>
    <xf numFmtId="0" fontId="271" fillId="0" borderId="1" xfId="0" applyFont="1" applyBorder="1">
      <alignment vertical="center"/>
    </xf>
    <xf numFmtId="10" fontId="100" fillId="0" borderId="6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485054</xdr:colOff>
      <xdr:row>46</xdr:row>
      <xdr:rowOff>104591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5771429"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51</xdr:row>
      <xdr:rowOff>0</xdr:rowOff>
    </xdr:from>
    <xdr:to>
      <xdr:col>10</xdr:col>
      <xdr:colOff>599355</xdr:colOff>
      <xdr:row>82</xdr:row>
      <xdr:rowOff>132743</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7772400"/>
          <a:ext cx="576190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360534</xdr:colOff>
      <xdr:row>26</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33334" cy="4342857"/>
        </a:xfrm>
        <a:prstGeom prst="rect">
          <a:avLst/>
        </a:prstGeom>
      </xdr:spPr>
    </xdr:pic>
    <xdr:clientData/>
  </xdr:twoCellAnchor>
  <xdr:twoCellAnchor editAs="oneCell">
    <xdr:from>
      <xdr:col>0</xdr:col>
      <xdr:colOff>0</xdr:colOff>
      <xdr:row>26</xdr:row>
      <xdr:rowOff>0</xdr:rowOff>
    </xdr:from>
    <xdr:to>
      <xdr:col>14</xdr:col>
      <xdr:colOff>655944</xdr:colOff>
      <xdr:row>51</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0257144" cy="4428572"/>
        </a:xfrm>
        <a:prstGeom prst="rect">
          <a:avLst/>
        </a:prstGeom>
      </xdr:spPr>
    </xdr:pic>
    <xdr:clientData/>
  </xdr:twoCellAnchor>
  <xdr:twoCellAnchor editAs="oneCell">
    <xdr:from>
      <xdr:col>0</xdr:col>
      <xdr:colOff>0</xdr:colOff>
      <xdr:row>54</xdr:row>
      <xdr:rowOff>0</xdr:rowOff>
    </xdr:from>
    <xdr:to>
      <xdr:col>16</xdr:col>
      <xdr:colOff>246248</xdr:colOff>
      <xdr:row>72</xdr:row>
      <xdr:rowOff>75805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11219048" cy="3161905"/>
        </a:xfrm>
        <a:prstGeom prst="rect">
          <a:avLst/>
        </a:prstGeom>
      </xdr:spPr>
    </xdr:pic>
    <xdr:clientData/>
  </xdr:twoCellAnchor>
  <xdr:twoCellAnchor editAs="oneCell">
    <xdr:from>
      <xdr:col>0</xdr:col>
      <xdr:colOff>0</xdr:colOff>
      <xdr:row>73</xdr:row>
      <xdr:rowOff>0</xdr:rowOff>
    </xdr:from>
    <xdr:to>
      <xdr:col>15</xdr:col>
      <xdr:colOff>398715</xdr:colOff>
      <xdr:row>99</xdr:row>
      <xdr:rowOff>28015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0685715" cy="4485715"/>
        </a:xfrm>
        <a:prstGeom prst="rect">
          <a:avLst/>
        </a:prstGeom>
      </xdr:spPr>
    </xdr:pic>
    <xdr:clientData/>
  </xdr:twoCellAnchor>
  <xdr:twoCellAnchor editAs="oneCell">
    <xdr:from>
      <xdr:col>0</xdr:col>
      <xdr:colOff>0</xdr:colOff>
      <xdr:row>102</xdr:row>
      <xdr:rowOff>0</xdr:rowOff>
    </xdr:from>
    <xdr:to>
      <xdr:col>16</xdr:col>
      <xdr:colOff>303391</xdr:colOff>
      <xdr:row>113</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87900"/>
          <a:ext cx="11276191" cy="1952381"/>
        </a:xfrm>
        <a:prstGeom prst="rect">
          <a:avLst/>
        </a:prstGeom>
      </xdr:spPr>
    </xdr:pic>
    <xdr:clientData/>
  </xdr:twoCellAnchor>
  <xdr:twoCellAnchor editAs="oneCell">
    <xdr:from>
      <xdr:col>0</xdr:col>
      <xdr:colOff>0</xdr:colOff>
      <xdr:row>112</xdr:row>
      <xdr:rowOff>161925</xdr:rowOff>
    </xdr:from>
    <xdr:to>
      <xdr:col>14</xdr:col>
      <xdr:colOff>303563</xdr:colOff>
      <xdr:row>138</xdr:row>
      <xdr:rowOff>94701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64325"/>
          <a:ext cx="9904763" cy="4390476"/>
        </a:xfrm>
        <a:prstGeom prst="rect">
          <a:avLst/>
        </a:prstGeom>
      </xdr:spPr>
    </xdr:pic>
    <xdr:clientData/>
  </xdr:twoCellAnchor>
  <xdr:twoCellAnchor editAs="oneCell">
    <xdr:from>
      <xdr:col>0</xdr:col>
      <xdr:colOff>0</xdr:colOff>
      <xdr:row>153</xdr:row>
      <xdr:rowOff>0</xdr:rowOff>
    </xdr:from>
    <xdr:to>
      <xdr:col>14</xdr:col>
      <xdr:colOff>46420</xdr:colOff>
      <xdr:row>177</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231850"/>
          <a:ext cx="9647620" cy="4219048"/>
        </a:xfrm>
        <a:prstGeom prst="rect">
          <a:avLst/>
        </a:prstGeom>
      </xdr:spPr>
    </xdr:pic>
    <xdr:clientData/>
  </xdr:twoCellAnchor>
  <xdr:twoCellAnchor editAs="oneCell">
    <xdr:from>
      <xdr:col>0</xdr:col>
      <xdr:colOff>0</xdr:colOff>
      <xdr:row>178</xdr:row>
      <xdr:rowOff>0</xdr:rowOff>
    </xdr:from>
    <xdr:to>
      <xdr:col>16</xdr:col>
      <xdr:colOff>255772</xdr:colOff>
      <xdr:row>186</xdr:row>
      <xdr:rowOff>171257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518100"/>
          <a:ext cx="11228572" cy="1542857"/>
        </a:xfrm>
        <a:prstGeom prst="rect">
          <a:avLst/>
        </a:prstGeom>
      </xdr:spPr>
    </xdr:pic>
    <xdr:clientData/>
  </xdr:twoCellAnchor>
  <xdr:twoCellAnchor editAs="oneCell">
    <xdr:from>
      <xdr:col>0</xdr:col>
      <xdr:colOff>19050</xdr:colOff>
      <xdr:row>24</xdr:row>
      <xdr:rowOff>66675</xdr:rowOff>
    </xdr:from>
    <xdr:to>
      <xdr:col>16</xdr:col>
      <xdr:colOff>341489</xdr:colOff>
      <xdr:row>30</xdr:row>
      <xdr:rowOff>37975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9050" y="4181475"/>
          <a:ext cx="11295239" cy="1000000"/>
        </a:xfrm>
        <a:prstGeom prst="rect">
          <a:avLst/>
        </a:prstGeom>
      </xdr:spPr>
    </xdr:pic>
    <xdr:clientData/>
  </xdr:twoCellAnchor>
  <xdr:twoCellAnchor editAs="oneCell">
    <xdr:from>
      <xdr:col>0</xdr:col>
      <xdr:colOff>0</xdr:colOff>
      <xdr:row>70</xdr:row>
      <xdr:rowOff>142875</xdr:rowOff>
    </xdr:from>
    <xdr:to>
      <xdr:col>16</xdr:col>
      <xdr:colOff>446248</xdr:colOff>
      <xdr:row>79</xdr:row>
      <xdr:rowOff>85539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2144375"/>
          <a:ext cx="11419048" cy="1485714"/>
        </a:xfrm>
        <a:prstGeom prst="rect">
          <a:avLst/>
        </a:prstGeom>
      </xdr:spPr>
    </xdr:pic>
    <xdr:clientData/>
  </xdr:twoCellAnchor>
  <xdr:twoCellAnchor editAs="oneCell">
    <xdr:from>
      <xdr:col>0</xdr:col>
      <xdr:colOff>0</xdr:colOff>
      <xdr:row>108</xdr:row>
      <xdr:rowOff>85725</xdr:rowOff>
    </xdr:from>
    <xdr:to>
      <xdr:col>16</xdr:col>
      <xdr:colOff>322439</xdr:colOff>
      <xdr:row>116</xdr:row>
      <xdr:rowOff>161744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602325"/>
          <a:ext cx="11295239"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21097;&#20313;&#29616;&#25151;-&#35299;&#22269;&#26126;20230724-1053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清单"/>
      <sheetName val="抵押物清单"/>
      <sheetName val="Sheet3"/>
      <sheetName val="数据-汇总表"/>
      <sheetName val="数据-取费表"/>
      <sheetName val="估价对象房地状况"/>
      <sheetName val="系统读取表"/>
      <sheetName val="结果表"/>
      <sheetName val="比较法-住宅"/>
      <sheetName val="成本法"/>
      <sheetName val="成本法 (元)"/>
      <sheetName val="土地比较法-住宅、综合"/>
      <sheetName val="土地案例"/>
      <sheetName val="假设开发法"/>
      <sheetName val="收益法"/>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典型户型修正"/>
      <sheetName val="住宅案例"/>
      <sheetName val="结果表-车库"/>
      <sheetName val="比较法-车位"/>
      <sheetName val="收益法 (元)"/>
      <sheetName val="典型户型修正-车库"/>
      <sheetName val="车位案例"/>
      <sheetName val="结果表-机械车库"/>
      <sheetName val="成本法 (元)-机械车库"/>
      <sheetName val="收益法 (元)-机械车库"/>
      <sheetName val="典型户型修正-机械车库"/>
      <sheetName val="成本法-机械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26390.010000000006</v>
          </cell>
          <cell r="D14">
            <v>92838</v>
          </cell>
          <cell r="G14">
            <v>92838</v>
          </cell>
        </row>
        <row r="15">
          <cell r="B15">
            <v>4564.170000000011</v>
          </cell>
          <cell r="D15">
            <v>1734</v>
          </cell>
        </row>
        <row r="16">
          <cell r="B16">
            <v>4520.6200000000008</v>
          </cell>
          <cell r="D16">
            <v>2319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估价对象为北京市房地产，为所有。根据《国有土地使用证》[]，估价对象（分摊）出让国有建设用地使用权面积为18302.1平方米，建筑面积为44954.17平方米。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估价对象为北京市房地产,属开发建设的，该项目尚在开发建设中。根据《国有土地使用证》[]，估价对象（分摊）出让国有建设用地使用权面积为18302.1平方米，规划建筑面积为44954.17平方米。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2023年7月25日</v>
      </c>
    </row>
    <row r="13" spans="1:2" s="1202" customFormat="1">
      <c r="A13" s="1200" t="s">
        <v>529</v>
      </c>
      <c r="B13" s="1201" t="str">
        <f>'预评函-1'!A18</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79064</v>
      </c>
    </row>
    <row r="21" spans="1:2" s="1202" customFormat="1">
      <c r="A21" s="1200" t="s">
        <v>537</v>
      </c>
      <c r="B21" s="1201">
        <f ca="1">'预评函-2'!D7</f>
        <v>17588</v>
      </c>
    </row>
    <row r="22" spans="1:2" s="1202" customFormat="1">
      <c r="A22" s="1200" t="s">
        <v>538</v>
      </c>
      <c r="B22" s="1201" t="str">
        <f ca="1">'预评函-2'!D6</f>
        <v>柒亿玖仟零陆拾肆万元整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79064</v>
      </c>
    </row>
    <row r="31" spans="1:2" s="1202" customFormat="1">
      <c r="A31" s="1200" t="s">
        <v>576</v>
      </c>
      <c r="B31" s="1201">
        <f ca="1">'预评函-2'!D15</f>
        <v>17588</v>
      </c>
    </row>
    <row r="32" spans="1:2" s="1202" customFormat="1">
      <c r="A32" s="1200" t="s">
        <v>543</v>
      </c>
      <c r="B32" s="1201" t="str">
        <f ca="1">'预评函-2'!D14</f>
        <v>柒亿玖仟零陆拾肆万元整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44954.17</v>
      </c>
    </row>
    <row r="44" spans="1:2" s="1202" customFormat="1">
      <c r="A44" s="1200" t="s">
        <v>575</v>
      </c>
      <c r="B44" s="1201" t="str">
        <f>'预评函-3'!C2</f>
        <v>(分摊)土地面积</v>
      </c>
    </row>
    <row r="45" spans="1:2" s="1202" customFormat="1">
      <c r="A45" s="1200" t="s">
        <v>547</v>
      </c>
      <c r="B45" s="1201">
        <f>'预评函-3'!C4</f>
        <v>18302.099999999999</v>
      </c>
    </row>
    <row r="46" spans="1:2" s="1202" customFormat="1">
      <c r="A46" s="1200" t="s">
        <v>573</v>
      </c>
      <c r="B46" s="1201" t="str">
        <f>'预评函-3'!D2</f>
        <v>出让国有建设用地使用权价值</v>
      </c>
    </row>
    <row r="47" spans="1:2" s="1202" customFormat="1">
      <c r="A47" s="1200" t="s">
        <v>548</v>
      </c>
      <c r="B47" s="1201">
        <f ca="1">'预评函-3'!D4</f>
        <v>78115</v>
      </c>
    </row>
    <row r="48" spans="1:2" s="1202" customFormat="1">
      <c r="A48" s="1200" t="s">
        <v>549</v>
      </c>
      <c r="B48" s="1201">
        <f ca="1">'预评函-3'!E4</f>
        <v>17377</v>
      </c>
    </row>
    <row r="49" spans="1:2" s="1202" customFormat="1">
      <c r="A49" s="1200" t="s">
        <v>550</v>
      </c>
      <c r="B49" s="1201" t="str">
        <f ca="1">'预评函-3'!D5</f>
        <v>柒亿捌仟壹佰壹拾伍万元整</v>
      </c>
    </row>
    <row r="50" spans="1:2" s="1202" customFormat="1">
      <c r="A50" s="1200" t="s">
        <v>574</v>
      </c>
      <c r="B50" s="1201" t="str">
        <f>'预评函-3'!F2</f>
        <v>在建建筑物价值</v>
      </c>
    </row>
    <row r="51" spans="1:2" s="1202" customFormat="1">
      <c r="A51" s="1200" t="s">
        <v>551</v>
      </c>
      <c r="B51" s="1201">
        <f ca="1">'预评函-3'!F4</f>
        <v>949</v>
      </c>
    </row>
    <row r="52" spans="1:2" s="1202" customFormat="1">
      <c r="A52" s="1200" t="s">
        <v>552</v>
      </c>
      <c r="B52" s="1201">
        <f ca="1">'预评函-3'!G4</f>
        <v>211</v>
      </c>
    </row>
    <row r="53" spans="1:2" s="1202" customFormat="1">
      <c r="A53" s="1200" t="s">
        <v>580</v>
      </c>
      <c r="B53" s="1201" t="str">
        <f ca="1">'预评函-3'!F5</f>
        <v>玖佰肆拾玖万元整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4" t="s">
        <v>2584</v>
      </c>
      <c r="J2" s="3524"/>
      <c r="K2" s="3524"/>
      <c r="L2" s="3524"/>
      <c r="M2" s="3524"/>
      <c r="N2" s="3524"/>
      <c r="O2" s="3524"/>
      <c r="P2" s="3524"/>
      <c r="Q2" s="3524"/>
      <c r="R2" s="3524"/>
    </row>
    <row r="3" spans="1:18">
      <c r="A3" s="3016" t="s">
        <v>2505</v>
      </c>
      <c r="B3" s="3017">
        <f>项目基本情况!D3</f>
        <v>45132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3.4</v>
      </c>
      <c r="D5" s="3021">
        <f>IF(ISERROR(ROUND(POWER(1+E5,A5-C5)*(POWER(1+E5,C5)-1)/(POWER(1+E5,A5)-1),3)),0,ROUND(POWER(1+E5,A5-C5)*(POWER(1+E5,C5)-1)/(POWER(1+E5,A5)-1),4))</f>
        <v>0.15770000000000001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13.41</v>
      </c>
      <c r="D6" s="3021">
        <f>IF(ISERROR(ROUND(POWER(1+E6,A6-C6)*(POWER(1+E6,C6)-1)/(POWER(1+E6,A6)-1),3)),0,ROUND(POWER(1+E6,A6-C6)*(POWER(1+E6,C6)-1)/(POWER(1+E6,A6)-1),4))</f>
        <v>0.47599999999999998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33.42</v>
      </c>
      <c r="D7" s="3021">
        <f>IF(ISERROR(ROUND(POWER(1+E7,A7-C7)*(POWER(1+E7,C7)-1)/(POWER(1+E7,A7)-1),3)),0,ROUND(POWER(1+E7,A7-C7)*(POWER(1+E7,C7)-1)/(POWER(1+E7,A7)-1),4))</f>
        <v>0.78049999999999997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5" sqref="B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45132</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3904</v>
      </c>
      <c r="C8" s="2386"/>
      <c r="D8" s="3536" t="s">
        <v>2177</v>
      </c>
      <c r="E8" s="2387" t="s">
        <v>3905</v>
      </c>
      <c r="F8" s="2388"/>
      <c r="G8" s="2659"/>
      <c r="H8" s="2659"/>
      <c r="I8" s="2659"/>
      <c r="J8" s="2435"/>
      <c r="K8" s="2610"/>
      <c r="L8" s="2609"/>
      <c r="M8" s="2609"/>
      <c r="N8" s="2435"/>
      <c r="O8" s="2446"/>
      <c r="P8" s="2435"/>
      <c r="Q8" s="2435"/>
      <c r="R8" s="2435"/>
    </row>
    <row r="9" spans="1:30" ht="13.5" thickBot="1">
      <c r="A9" s="2389" t="s">
        <v>2178</v>
      </c>
      <c r="B9" s="2390" t="s">
        <v>3905</v>
      </c>
      <c r="C9" s="2391"/>
      <c r="D9" s="3537"/>
      <c r="E9" s="2390"/>
      <c r="F9" s="2392"/>
      <c r="G9" s="2661"/>
      <c r="H9" s="2661"/>
      <c r="I9" s="2661"/>
      <c r="J9" s="2435"/>
      <c r="K9" s="2612"/>
      <c r="L9" s="2609"/>
      <c r="M9" s="2609"/>
      <c r="N9" s="2435"/>
      <c r="O9" s="2446"/>
      <c r="P9" s="2435"/>
      <c r="Q9" s="2435"/>
      <c r="R9" s="2435"/>
    </row>
    <row r="10" spans="1:30" ht="13.5" thickTop="1">
      <c r="A10" s="2393" t="s">
        <v>2179</v>
      </c>
      <c r="B10" s="2394" t="s">
        <v>3487</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3906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4"/>
    </row>
    <row r="13" spans="1:30">
      <c r="A13" s="3419" t="s">
        <v>3338</v>
      </c>
      <c r="B13" s="2403" t="s">
        <v>2190</v>
      </c>
      <c r="C13" s="856">
        <v>69313</v>
      </c>
      <c r="D13" s="856"/>
      <c r="E13" s="856"/>
      <c r="F13" s="856">
        <v>62008</v>
      </c>
      <c r="G13" s="856"/>
      <c r="H13" s="856"/>
      <c r="I13" s="856"/>
      <c r="J13" s="3058"/>
      <c r="K13" s="2609"/>
      <c r="L13" s="2609"/>
      <c r="M13" s="2435"/>
      <c r="N13" s="2446"/>
      <c r="O13" s="2435"/>
      <c r="P13" s="2435"/>
      <c r="Q13" s="2435"/>
      <c r="AD13" s="1744"/>
    </row>
    <row r="14" spans="1:30">
      <c r="A14" s="1081"/>
      <c r="B14" s="2403" t="s">
        <v>2191</v>
      </c>
      <c r="C14" s="2404">
        <v>70</v>
      </c>
      <c r="D14" s="2404"/>
      <c r="E14" s="2404"/>
      <c r="F14" s="2404">
        <v>50</v>
      </c>
      <c r="G14" s="2404"/>
      <c r="H14" s="2404"/>
      <c r="I14" s="2404"/>
      <c r="J14" s="3059"/>
      <c r="K14" s="2609"/>
      <c r="L14" s="2609"/>
      <c r="M14" s="2435"/>
      <c r="N14" s="2446"/>
      <c r="O14" s="2435"/>
      <c r="P14" s="2435"/>
      <c r="Q14" s="2435"/>
      <c r="AD14" s="1744"/>
    </row>
    <row r="15" spans="1:30">
      <c r="A15" s="320"/>
      <c r="B15" s="2405" t="s">
        <v>2192</v>
      </c>
      <c r="C15" s="2406">
        <f>IF(A13="出让",IF(C13="","",ROUNDDOWN(MIN((C13-$D$3)/365,C14),2)),C14)</f>
        <v>66.239999999999995</v>
      </c>
      <c r="D15" s="2406" t="str">
        <f>IF(A13="出让",IF(D13="","",ROUNDDOWN(MIN((D13-$D$3)/365,D14),2)),D14)</f>
        <v/>
      </c>
      <c r="E15" s="2406" t="str">
        <f>IF(A13="出让",IF(E13="","",ROUNDDOWN(MIN((E13-$D$3)/365,E14),2)),E14)</f>
        <v/>
      </c>
      <c r="F15" s="2406">
        <f>IF(A13="出让",IF(F13="","",ROUNDDOWN(MIN((F13-$D$3)/365,F14),2)),F14)</f>
        <v>46.23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43"/>
      <c r="C16" s="3544"/>
      <c r="D16" s="3545"/>
      <c r="E16" s="2409" t="s">
        <v>2194</v>
      </c>
      <c r="F16" s="3546"/>
      <c r="G16" s="3547"/>
      <c r="H16" s="3547"/>
      <c r="I16" s="3548"/>
      <c r="J16" s="2435"/>
      <c r="K16" s="2613"/>
      <c r="L16" s="2447"/>
      <c r="M16" s="2447"/>
      <c r="N16" s="2505"/>
      <c r="O16" s="2447"/>
      <c r="P16" s="2505"/>
      <c r="Q16" s="2435"/>
      <c r="R16" s="2435"/>
    </row>
    <row r="17" spans="1:28">
      <c r="A17" s="313" t="s">
        <v>2195</v>
      </c>
      <c r="B17" s="302" t="s">
        <v>2196</v>
      </c>
      <c r="C17" s="8">
        <f>'数据-汇总表'!E3</f>
        <v>44954.17</v>
      </c>
      <c r="D17" s="2318" t="s">
        <v>2197</v>
      </c>
      <c r="E17" s="3549" t="s">
        <v>2198</v>
      </c>
      <c r="F17" s="3550"/>
      <c r="G17" s="3550"/>
      <c r="H17" s="3550"/>
      <c r="I17" s="3551"/>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18302.099999999999</v>
      </c>
      <c r="D18" s="1092" t="s">
        <v>2201</v>
      </c>
      <c r="E18" s="3552" t="s">
        <v>2202</v>
      </c>
      <c r="F18" s="3553"/>
      <c r="G18" s="3553"/>
      <c r="H18" s="3553"/>
      <c r="I18" s="3554"/>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39" t="s">
        <v>2206</v>
      </c>
      <c r="C20" s="3540"/>
      <c r="D20" s="3541" t="s">
        <v>2207</v>
      </c>
      <c r="E20" s="3542"/>
      <c r="F20" s="2643" t="s">
        <v>1056</v>
      </c>
      <c r="G20" s="2660"/>
      <c r="H20" s="2660"/>
      <c r="I20" s="2660"/>
      <c r="J20" s="2435"/>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6"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6"/>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6"/>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7"/>
      <c r="B30" s="302" t="s">
        <v>2218</v>
      </c>
      <c r="C30" s="3528"/>
      <c r="D30" s="3529"/>
      <c r="E30" s="2660"/>
      <c r="F30" s="2660"/>
      <c r="G30" s="2660"/>
      <c r="H30" s="2660"/>
      <c r="I30" s="2660"/>
      <c r="J30" s="2435"/>
      <c r="K30" s="2612"/>
      <c r="L30" s="2609"/>
      <c r="M30" s="2609"/>
      <c r="N30" s="2435"/>
      <c r="O30" s="2446"/>
      <c r="P30" s="2435"/>
      <c r="Q30" s="2435"/>
      <c r="R30" s="2435"/>
      <c r="S30" s="2435"/>
      <c r="T30" s="2435"/>
      <c r="U30" s="2435"/>
      <c r="V30" s="2435"/>
    </row>
    <row r="31" spans="1:28">
      <c r="A31" s="3530"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31"/>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3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25" t="s">
        <v>2228</v>
      </c>
      <c r="T34" s="2424" t="str">
        <f>NUMBERSTRING(7-K34,1)&amp;"通"</f>
        <v>七通</v>
      </c>
      <c r="U34" s="2435"/>
      <c r="V34" s="2435"/>
    </row>
    <row r="35" spans="1:30">
      <c r="A35" s="2425"/>
      <c r="B35" s="3532" t="s">
        <v>2229</v>
      </c>
      <c r="C35" s="3532"/>
      <c r="D35" s="3532"/>
      <c r="E35" s="353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306</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2941</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5" sqref="A3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44357.279999999999</v>
      </c>
      <c r="B3" s="11">
        <f>IF(C3="否",G5-AT5,G5)</f>
        <v>108951.70999999999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108951.70999999999</v>
      </c>
      <c r="H5" s="13">
        <f t="shared" ref="H5:AT5" si="0">SUM(H13:H656)</f>
        <v>106454.23999999999</v>
      </c>
      <c r="I5" s="13">
        <f t="shared" si="0"/>
        <v>87551.84</v>
      </c>
      <c r="J5" s="13">
        <f t="shared" si="0"/>
        <v>0</v>
      </c>
      <c r="K5" s="13">
        <f t="shared" si="0"/>
        <v>1046.06</v>
      </c>
      <c r="L5" s="13">
        <f t="shared" si="0"/>
        <v>0</v>
      </c>
      <c r="M5" s="13">
        <f t="shared" si="0"/>
        <v>17856.34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2497.4700000000003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2497.4700000000003</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44954.17</v>
      </c>
      <c r="BA5" s="15">
        <f t="shared" si="1"/>
        <v>43288.34</v>
      </c>
      <c r="BB5" s="15">
        <f t="shared" si="1"/>
        <v>34610.639999999999</v>
      </c>
      <c r="BC5" s="15">
        <f t="shared" si="1"/>
        <v>0</v>
      </c>
      <c r="BD5" s="15">
        <f t="shared" si="1"/>
        <v>8677.7000000000007</v>
      </c>
      <c r="BE5" s="15">
        <f t="shared" si="1"/>
        <v>0</v>
      </c>
      <c r="BF5" s="15">
        <f t="shared" si="1"/>
        <v>0</v>
      </c>
      <c r="BG5" s="15">
        <f t="shared" si="1"/>
        <v>0</v>
      </c>
      <c r="BH5" s="15">
        <f t="shared" si="1"/>
        <v>0</v>
      </c>
      <c r="BI5" s="15">
        <f t="shared" si="1"/>
        <v>0</v>
      </c>
      <c r="BJ5" s="15">
        <f t="shared" si="1"/>
        <v>0</v>
      </c>
      <c r="BK5" s="15">
        <f t="shared" si="1"/>
        <v>0</v>
      </c>
      <c r="BL5" s="15">
        <f t="shared" si="1"/>
        <v>1665.83</v>
      </c>
      <c r="BM5" s="15">
        <f t="shared" si="1"/>
        <v>0</v>
      </c>
      <c r="BN5" s="15">
        <f t="shared" si="1"/>
        <v>0</v>
      </c>
      <c r="BO5" s="15">
        <f t="shared" si="1"/>
        <v>0</v>
      </c>
      <c r="BP5" s="15">
        <f t="shared" si="1"/>
        <v>0</v>
      </c>
      <c r="BQ5" s="15">
        <f t="shared" si="1"/>
        <v>0</v>
      </c>
      <c r="BR5" s="15">
        <f t="shared" si="1"/>
        <v>1665.83</v>
      </c>
      <c r="BS5" s="15">
        <f t="shared" si="1"/>
        <v>0</v>
      </c>
      <c r="BT5" s="16">
        <f t="shared" si="1"/>
        <v>0</v>
      </c>
    </row>
    <row r="6" spans="1:72" s="1588" customFormat="1" ht="12.75">
      <c r="A6" s="12" t="s">
        <v>1072</v>
      </c>
      <c r="B6" s="1585"/>
      <c r="C6" s="1585"/>
      <c r="D6" s="1586"/>
      <c r="E6" s="13">
        <f>H6+AC6+AT6</f>
        <v>44357.279999999999</v>
      </c>
      <c r="F6" s="13" t="s">
        <v>0</v>
      </c>
      <c r="G6" s="13" t="s">
        <v>1</v>
      </c>
      <c r="H6" s="17">
        <f>SUMIF(I$12:AB$12,"总值",I6:AB6)</f>
        <v>43340.49</v>
      </c>
      <c r="I6" s="13">
        <f t="shared" ref="I6:AB6" si="2">ROUND($A$3*I5/$B$3,2)</f>
        <v>35644.800000000003</v>
      </c>
      <c r="J6" s="13">
        <f t="shared" si="2"/>
        <v>0</v>
      </c>
      <c r="K6" s="13">
        <f t="shared" si="2"/>
        <v>425.88</v>
      </c>
      <c r="L6" s="13">
        <f t="shared" si="2"/>
        <v>0</v>
      </c>
      <c r="M6" s="13">
        <f t="shared" si="2"/>
        <v>7269.81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1016.79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1016.79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18302.099999999999</v>
      </c>
      <c r="AZ6" s="13" t="s">
        <v>2</v>
      </c>
      <c r="BA6" s="13">
        <f>ROUND($AY$6*BA5/$AZ$5,2)</f>
        <v>17623.89</v>
      </c>
      <c r="BB6" s="13">
        <f>ROUND($AY$6*BB5/$AZ$5,2)</f>
        <v>14090.96</v>
      </c>
      <c r="BC6" s="13">
        <f t="shared" ref="BC6:BH6" si="4">ROUND($AY$6*BC5/$AZ$5,2)</f>
        <v>0</v>
      </c>
      <c r="BD6" s="13">
        <f t="shared" si="4"/>
        <v>3532.93</v>
      </c>
      <c r="BE6" s="13">
        <f t="shared" si="4"/>
        <v>0</v>
      </c>
      <c r="BF6" s="13">
        <f t="shared" si="4"/>
        <v>0</v>
      </c>
      <c r="BG6" s="13">
        <f t="shared" si="4"/>
        <v>0</v>
      </c>
      <c r="BH6" s="13">
        <f t="shared" si="4"/>
        <v>0</v>
      </c>
      <c r="BI6" s="13">
        <f t="shared" ref="BI6:BT6" si="5">ROUND($AY$6*BI5/$AZ$5,2)</f>
        <v>0</v>
      </c>
      <c r="BJ6" s="13">
        <f t="shared" si="5"/>
        <v>0</v>
      </c>
      <c r="BK6" s="13">
        <f t="shared" si="5"/>
        <v>0</v>
      </c>
      <c r="BL6" s="13">
        <f t="shared" si="5"/>
        <v>678.21</v>
      </c>
      <c r="BM6" s="13">
        <f t="shared" si="5"/>
        <v>0</v>
      </c>
      <c r="BN6" s="13">
        <f t="shared" si="5"/>
        <v>0</v>
      </c>
      <c r="BO6" s="13">
        <f t="shared" si="5"/>
        <v>0</v>
      </c>
      <c r="BP6" s="13">
        <f t="shared" si="5"/>
        <v>0</v>
      </c>
      <c r="BQ6" s="13">
        <f t="shared" si="5"/>
        <v>0</v>
      </c>
      <c r="BR6" s="13">
        <f t="shared" si="5"/>
        <v>678.21</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t="s">
        <v>3436</v>
      </c>
      <c r="L9" s="809"/>
      <c r="M9" s="1602" t="s">
        <v>3398</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3382</v>
      </c>
      <c r="J10" s="809"/>
      <c r="K10" s="1608" t="s">
        <v>673</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8" t="s">
        <v>3432</v>
      </c>
      <c r="D13" s="1624" t="s">
        <v>3434</v>
      </c>
      <c r="E13" s="13">
        <f>IF($C$3="是",ROUND($A$3*G13/$B$3,2),ROUND($A$3*(G13-AT13)/$B$3,2))</f>
        <v>18302.099999999999</v>
      </c>
      <c r="F13" s="29"/>
      <c r="G13" s="30">
        <f>H13+AC13+AT13</f>
        <v>44954.17</v>
      </c>
      <c r="H13" s="17">
        <f>SUMIF(I$12:AB$12,"总值",I13:AB13)</f>
        <v>43288.34</v>
      </c>
      <c r="I13" s="1625">
        <f>面积清单!F33</f>
        <v>34610.639999999999</v>
      </c>
      <c r="J13" s="1625"/>
      <c r="K13" s="1625"/>
      <c r="L13" s="1625"/>
      <c r="M13" s="1625">
        <f>面积清单!H33</f>
        <v>8677.7000000000007</v>
      </c>
      <c r="N13" s="1625"/>
      <c r="O13" s="1625"/>
      <c r="P13" s="1625"/>
      <c r="Q13" s="1625"/>
      <c r="R13" s="1625"/>
      <c r="S13" s="1625"/>
      <c r="T13" s="1625"/>
      <c r="U13" s="1625"/>
      <c r="V13" s="1625"/>
      <c r="W13" s="1625"/>
      <c r="X13" s="1625"/>
      <c r="Y13" s="1625"/>
      <c r="Z13" s="1625"/>
      <c r="AA13" s="1625"/>
      <c r="AB13" s="1625"/>
      <c r="AC13" s="13">
        <f>SUMIF(AD$12:AS$12,"总值",AD13:AS13)</f>
        <v>1665.83</v>
      </c>
      <c r="AD13" s="1626"/>
      <c r="AE13" s="1626"/>
      <c r="AF13" s="1626"/>
      <c r="AG13" s="1626"/>
      <c r="AH13" s="1626"/>
      <c r="AI13" s="1626"/>
      <c r="AJ13" s="1626"/>
      <c r="AK13" s="1626"/>
      <c r="AL13" s="1626"/>
      <c r="AM13" s="1626"/>
      <c r="AN13" s="1626">
        <f>面积清单!I33</f>
        <v>1665.83</v>
      </c>
      <c r="AO13" s="1626"/>
      <c r="AP13" s="1626"/>
      <c r="AQ13" s="1626"/>
      <c r="AR13" s="1626"/>
      <c r="AS13" s="1626"/>
      <c r="AT13" s="1627"/>
      <c r="AU13" s="1628"/>
      <c r="AV13" s="8">
        <f t="shared" ref="AV13:AX17" si="6">A13</f>
        <v>0</v>
      </c>
      <c r="AW13" s="8">
        <f t="shared" si="6"/>
        <v>0</v>
      </c>
      <c r="AX13" s="8" t="str">
        <f t="shared" si="6"/>
        <v>三期</v>
      </c>
      <c r="AY13" s="1348">
        <f>ROUND($AY$6*AZ13/$AZ$5,2)</f>
        <v>18302.099999999999</v>
      </c>
      <c r="AZ13" s="13">
        <f>BA13+BL13</f>
        <v>44954.17</v>
      </c>
      <c r="BA13" s="13">
        <f>SUM(BB13:BK13)</f>
        <v>43288.34</v>
      </c>
      <c r="BB13" s="13">
        <f>IF($D13="是",I13-J13,0)</f>
        <v>34610.639999999999</v>
      </c>
      <c r="BC13" s="13">
        <f>IF($D13="是",K13-L13,0)</f>
        <v>0</v>
      </c>
      <c r="BD13" s="13">
        <f>IF($D13="是",M13-N13,0)</f>
        <v>8677.7000000000007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1665.83</v>
      </c>
      <c r="BM13" s="13">
        <f>IF($D13="是",AD13-AE13,0)</f>
        <v>0</v>
      </c>
      <c r="BN13" s="13">
        <f>IF($D13="是",AF13-AG13,0)</f>
        <v>0</v>
      </c>
      <c r="BO13" s="13">
        <f>IF($D13="是",AH13-AI13,0)</f>
        <v>0</v>
      </c>
      <c r="BP13" s="13">
        <f>IF($D13="是",AJ13-AK13,0)</f>
        <v>0</v>
      </c>
      <c r="BQ13" s="13">
        <f>IF($D13="是",AL13-AM13,0)</f>
        <v>0</v>
      </c>
      <c r="BR13" s="13">
        <f>IF($D13="是",AN13-AO13,0)</f>
        <v>1665.83</v>
      </c>
      <c r="BS13" s="13">
        <f>IF($D13="是",AP13-AQ13,0)</f>
        <v>0</v>
      </c>
      <c r="BT13" s="19">
        <f>IF($D13="是",AR13-AS13,0)</f>
        <v>0</v>
      </c>
    </row>
    <row r="14" spans="1:72" s="1578" customFormat="1" ht="12.75">
      <c r="A14" s="1051"/>
      <c r="B14" s="1051"/>
      <c r="C14" s="3449" t="s">
        <v>3433</v>
      </c>
      <c r="D14" s="1624" t="s">
        <v>3435</v>
      </c>
      <c r="E14" s="13">
        <f>IF($C$3="是",ROUND($A$3*G14/$B$3,2),ROUND($A$3*(G14-AT14)/$B$3,2))</f>
        <v>26055.18</v>
      </c>
      <c r="F14" s="29"/>
      <c r="G14" s="30">
        <f>H14+AC14+AT14</f>
        <v>63997.539999999994</v>
      </c>
      <c r="H14" s="17">
        <f>SUMIF(I$12:AB$12,"总值",I14:AB14)</f>
        <v>63165.899999999994</v>
      </c>
      <c r="I14" s="1625">
        <f>面积清单!F20</f>
        <v>52941.2</v>
      </c>
      <c r="J14" s="1625"/>
      <c r="K14" s="1625">
        <f>面积清单!G20</f>
        <v>1046.06</v>
      </c>
      <c r="L14" s="1625"/>
      <c r="M14" s="1625">
        <f>面积清单!H20</f>
        <v>9178.64</v>
      </c>
      <c r="N14" s="1625"/>
      <c r="O14" s="1625"/>
      <c r="P14" s="1625"/>
      <c r="Q14" s="1625"/>
      <c r="R14" s="1625"/>
      <c r="S14" s="1625"/>
      <c r="T14" s="1625"/>
      <c r="U14" s="1625"/>
      <c r="V14" s="1625"/>
      <c r="W14" s="1625"/>
      <c r="X14" s="1625"/>
      <c r="Y14" s="1625"/>
      <c r="Z14" s="1625"/>
      <c r="AA14" s="1625"/>
      <c r="AB14" s="1625"/>
      <c r="AC14" s="13">
        <f>SUMIF(AD$12:AS$12,"总值",AD14:AS14)</f>
        <v>831.6400000000001</v>
      </c>
      <c r="AD14" s="1626"/>
      <c r="AE14" s="1626"/>
      <c r="AF14" s="1626"/>
      <c r="AG14" s="1626"/>
      <c r="AH14" s="1626"/>
      <c r="AI14" s="1626"/>
      <c r="AJ14" s="1626"/>
      <c r="AK14" s="1626"/>
      <c r="AL14" s="1626"/>
      <c r="AM14" s="1626"/>
      <c r="AN14" s="1626">
        <f>面积清单!I20</f>
        <v>831.6400000000001</v>
      </c>
      <c r="AO14" s="1626"/>
      <c r="AP14" s="1626"/>
      <c r="AQ14" s="1626"/>
      <c r="AR14" s="1626"/>
      <c r="AS14" s="1626"/>
      <c r="AT14" s="1627"/>
      <c r="AU14" s="1628"/>
      <c r="AV14" s="8">
        <f t="shared" si="6"/>
        <v>0</v>
      </c>
      <c r="AW14" s="8">
        <f t="shared" si="6"/>
        <v>0</v>
      </c>
      <c r="AX14" s="8" t="str">
        <f t="shared" si="6"/>
        <v>二期</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3"/>
  <sheetViews>
    <sheetView topLeftCell="A10" workbookViewId="0">
      <selection activeCell="E20" activeCellId="1" sqref="E33 E20"/>
    </sheetView>
  </sheetViews>
  <sheetFormatPr defaultRowHeight="12"/>
  <cols>
    <col min="1" max="2" width="9" style="3446"/>
    <col min="3" max="3" width="15.375" style="3446" customWidth="1"/>
    <col min="4" max="16384" width="9" style="3446"/>
  </cols>
  <sheetData>
    <row r="3" spans="3:9">
      <c r="C3" s="3446" t="s">
        <v>3399</v>
      </c>
    </row>
    <row r="4" spans="3:9">
      <c r="C4" s="3447" t="s">
        <v>3416</v>
      </c>
      <c r="D4" s="3447" t="s">
        <v>3415</v>
      </c>
      <c r="E4" s="3447" t="s">
        <v>2596</v>
      </c>
      <c r="F4" s="3447" t="s">
        <v>2556</v>
      </c>
      <c r="G4" s="3447" t="s">
        <v>3383</v>
      </c>
      <c r="H4" s="3447" t="s">
        <v>3418</v>
      </c>
      <c r="I4" s="3447" t="s">
        <v>3384</v>
      </c>
    </row>
    <row r="5" spans="3:9">
      <c r="C5" s="3829" t="s">
        <v>3400</v>
      </c>
      <c r="D5" s="3829" t="s">
        <v>3380</v>
      </c>
      <c r="E5" s="3829">
        <f>F5+G5+H5+I5</f>
        <v>7779.79</v>
      </c>
      <c r="F5" s="3829">
        <v>7779.79</v>
      </c>
      <c r="G5" s="3829"/>
      <c r="H5" s="3829"/>
      <c r="I5" s="3829"/>
    </row>
    <row r="6" spans="3:9">
      <c r="C6" s="3829" t="s">
        <v>3401</v>
      </c>
      <c r="D6" s="3829" t="s">
        <v>3381</v>
      </c>
      <c r="E6" s="3829">
        <f t="shared" ref="E6:E19" si="0">F6+G6+H6+I6</f>
        <v>3763.92</v>
      </c>
      <c r="F6" s="3829">
        <v>3240.45</v>
      </c>
      <c r="G6" s="3829">
        <v>523.47</v>
      </c>
      <c r="H6" s="3829"/>
      <c r="I6" s="3829"/>
    </row>
    <row r="7" spans="3:9">
      <c r="C7" s="3829" t="s">
        <v>3402</v>
      </c>
      <c r="D7" s="3829" t="s">
        <v>3390</v>
      </c>
      <c r="E7" s="3829">
        <f t="shared" si="0"/>
        <v>3021.84</v>
      </c>
      <c r="F7" s="3829">
        <v>3021.84</v>
      </c>
      <c r="G7" s="3829"/>
      <c r="H7" s="3829"/>
      <c r="I7" s="3829"/>
    </row>
    <row r="8" spans="3:9">
      <c r="C8" s="3829" t="s">
        <v>3403</v>
      </c>
      <c r="D8" s="3829" t="s">
        <v>3391</v>
      </c>
      <c r="E8" s="3829">
        <f t="shared" si="0"/>
        <v>4026.1800000000003</v>
      </c>
      <c r="F8" s="3829">
        <v>3503.59</v>
      </c>
      <c r="G8" s="3829">
        <v>522.59</v>
      </c>
      <c r="H8" s="3829"/>
      <c r="I8" s="3829"/>
    </row>
    <row r="9" spans="3:9">
      <c r="C9" s="3829" t="s">
        <v>3404</v>
      </c>
      <c r="D9" s="3829" t="s">
        <v>3392</v>
      </c>
      <c r="E9" s="3829">
        <f t="shared" si="0"/>
        <v>3720.64</v>
      </c>
      <c r="F9" s="3829">
        <v>3720.64</v>
      </c>
      <c r="G9" s="3829"/>
      <c r="H9" s="3829"/>
      <c r="I9" s="3829"/>
    </row>
    <row r="10" spans="3:9">
      <c r="C10" s="3829" t="s">
        <v>3405</v>
      </c>
      <c r="D10" s="3829" t="s">
        <v>3393</v>
      </c>
      <c r="E10" s="3829">
        <f t="shared" si="0"/>
        <v>2621.66</v>
      </c>
      <c r="F10" s="3829">
        <v>2621.66</v>
      </c>
      <c r="G10" s="3829"/>
      <c r="H10" s="3829"/>
      <c r="I10" s="3829"/>
    </row>
    <row r="11" spans="3:9">
      <c r="C11" s="3829" t="s">
        <v>3406</v>
      </c>
      <c r="D11" s="3829" t="s">
        <v>3385</v>
      </c>
      <c r="E11" s="3829">
        <f t="shared" si="0"/>
        <v>4258.75</v>
      </c>
      <c r="F11" s="3829">
        <v>4258.75</v>
      </c>
      <c r="G11" s="3829"/>
      <c r="H11" s="3829"/>
      <c r="I11" s="3829"/>
    </row>
    <row r="12" spans="3:9">
      <c r="C12" s="3829" t="s">
        <v>3407</v>
      </c>
      <c r="D12" s="3829" t="s">
        <v>3386</v>
      </c>
      <c r="E12" s="3829">
        <f t="shared" si="0"/>
        <v>3888.28</v>
      </c>
      <c r="F12" s="3829">
        <v>3888.28</v>
      </c>
      <c r="G12" s="3829"/>
      <c r="H12" s="3829"/>
      <c r="I12" s="3829"/>
    </row>
    <row r="13" spans="3:9">
      <c r="C13" s="3829" t="s">
        <v>3408</v>
      </c>
      <c r="D13" s="3829" t="s">
        <v>3387</v>
      </c>
      <c r="E13" s="3829">
        <f t="shared" si="0"/>
        <v>3888.28</v>
      </c>
      <c r="F13" s="3829">
        <v>3888.28</v>
      </c>
      <c r="G13" s="3829"/>
      <c r="H13" s="3829"/>
      <c r="I13" s="3829"/>
    </row>
    <row r="14" spans="3:9">
      <c r="C14" s="3829" t="s">
        <v>3409</v>
      </c>
      <c r="D14" s="3829" t="s">
        <v>3388</v>
      </c>
      <c r="E14" s="3829">
        <f t="shared" si="0"/>
        <v>3465.5</v>
      </c>
      <c r="F14" s="3829">
        <v>3465.5</v>
      </c>
      <c r="G14" s="3829"/>
      <c r="H14" s="3829"/>
      <c r="I14" s="3829"/>
    </row>
    <row r="15" spans="3:9">
      <c r="C15" s="3829" t="s">
        <v>3410</v>
      </c>
      <c r="D15" s="3829" t="s">
        <v>3389</v>
      </c>
      <c r="E15" s="3829">
        <f t="shared" si="0"/>
        <v>2772.24</v>
      </c>
      <c r="F15" s="3829">
        <v>2772.24</v>
      </c>
      <c r="G15" s="3829"/>
      <c r="H15" s="3829"/>
      <c r="I15" s="3829"/>
    </row>
    <row r="16" spans="3:9">
      <c r="C16" s="3829" t="s">
        <v>3411</v>
      </c>
      <c r="D16" s="3829" t="s">
        <v>3394</v>
      </c>
      <c r="E16" s="3829">
        <f t="shared" si="0"/>
        <v>3426.4</v>
      </c>
      <c r="F16" s="3829">
        <v>3426.4</v>
      </c>
      <c r="G16" s="3829"/>
      <c r="H16" s="3829"/>
      <c r="I16" s="3829"/>
    </row>
    <row r="17" spans="3:10">
      <c r="C17" s="3829" t="s">
        <v>3412</v>
      </c>
      <c r="D17" s="3829" t="s">
        <v>3395</v>
      </c>
      <c r="E17" s="3829">
        <f t="shared" si="0"/>
        <v>3888.28</v>
      </c>
      <c r="F17" s="3829">
        <v>3888.28</v>
      </c>
      <c r="G17" s="3829"/>
      <c r="H17" s="3829"/>
      <c r="I17" s="3829"/>
    </row>
    <row r="18" spans="3:10">
      <c r="C18" s="3829" t="s">
        <v>3413</v>
      </c>
      <c r="D18" s="3829" t="s">
        <v>3396</v>
      </c>
      <c r="E18" s="3829">
        <f t="shared" si="0"/>
        <v>3465.5</v>
      </c>
      <c r="F18" s="3829">
        <v>3465.5</v>
      </c>
      <c r="G18" s="3829"/>
      <c r="H18" s="3829"/>
      <c r="I18" s="3829"/>
    </row>
    <row r="19" spans="3:10">
      <c r="C19" s="3829" t="s">
        <v>3414</v>
      </c>
      <c r="D19" s="3829" t="s">
        <v>3397</v>
      </c>
      <c r="E19" s="3829">
        <f t="shared" si="0"/>
        <v>10010.279999999999</v>
      </c>
      <c r="F19" s="3829"/>
      <c r="G19" s="3829"/>
      <c r="H19" s="3829">
        <f>4658.02+4520.62</f>
        <v>9178.64</v>
      </c>
      <c r="I19" s="3829">
        <f>387.4+205.59+100.72+80.68+57.25</f>
        <v>831.6400000000001</v>
      </c>
      <c r="J19" s="3446" t="s">
        <v>3420</v>
      </c>
    </row>
    <row r="20" spans="3:10" ht="13.5" customHeight="1">
      <c r="C20" s="3555" t="s">
        <v>2596</v>
      </c>
      <c r="D20" s="3555"/>
      <c r="E20" s="3447">
        <f>SUM(E5:E19)</f>
        <v>63997.539999999994</v>
      </c>
      <c r="F20" s="3447">
        <f t="shared" ref="F20:I20" si="1">SUM(F5:F19)</f>
        <v>52941.2</v>
      </c>
      <c r="G20" s="3447">
        <f t="shared" si="1"/>
        <v>1046.06</v>
      </c>
      <c r="H20" s="3447">
        <f t="shared" si="1"/>
        <v>9178.64</v>
      </c>
      <c r="I20" s="3447">
        <f t="shared" si="1"/>
        <v>831.6400000000001</v>
      </c>
    </row>
    <row r="22" spans="3:10">
      <c r="C22" s="3446" t="s">
        <v>3417</v>
      </c>
    </row>
    <row r="23" spans="3:10">
      <c r="C23" s="3826" t="s">
        <v>3416</v>
      </c>
      <c r="D23" s="3826" t="s">
        <v>3415</v>
      </c>
      <c r="E23" s="3826" t="s">
        <v>2596</v>
      </c>
      <c r="F23" s="3826" t="s">
        <v>2556</v>
      </c>
      <c r="G23" s="3826" t="s">
        <v>3383</v>
      </c>
      <c r="H23" s="3826" t="s">
        <v>3418</v>
      </c>
      <c r="I23" s="3826" t="s">
        <v>3384</v>
      </c>
    </row>
    <row r="24" spans="3:10">
      <c r="C24" s="3826" t="s">
        <v>3421</v>
      </c>
      <c r="D24" s="3826" t="s">
        <v>3430</v>
      </c>
      <c r="E24" s="3826">
        <f>F24+G24+H24+I24</f>
        <v>3464.9</v>
      </c>
      <c r="F24" s="3826">
        <v>3464.9</v>
      </c>
      <c r="G24" s="3826"/>
      <c r="H24" s="3826"/>
      <c r="I24" s="3826"/>
    </row>
    <row r="25" spans="3:10">
      <c r="C25" s="3826" t="s">
        <v>3422</v>
      </c>
      <c r="D25" s="3826" t="s">
        <v>3430</v>
      </c>
      <c r="E25" s="3826">
        <f t="shared" ref="E25:E32" si="2">F25+G25+H25+I25</f>
        <v>3887.62</v>
      </c>
      <c r="F25" s="3826">
        <v>3887.62</v>
      </c>
      <c r="G25" s="3826"/>
      <c r="H25" s="3826"/>
      <c r="I25" s="3826"/>
    </row>
    <row r="26" spans="3:10">
      <c r="C26" s="3826" t="s">
        <v>3423</v>
      </c>
      <c r="D26" s="3826" t="s">
        <v>3430</v>
      </c>
      <c r="E26" s="3826">
        <f t="shared" si="2"/>
        <v>3309.8</v>
      </c>
      <c r="F26" s="3826">
        <v>3309.8</v>
      </c>
      <c r="G26" s="3826"/>
      <c r="H26" s="3826"/>
      <c r="I26" s="3826"/>
    </row>
    <row r="27" spans="3:10">
      <c r="C27" s="3826" t="s">
        <v>3424</v>
      </c>
      <c r="D27" s="3826" t="s">
        <v>3431</v>
      </c>
      <c r="E27" s="3826">
        <f t="shared" si="2"/>
        <v>4257.88</v>
      </c>
      <c r="F27" s="3826">
        <v>4257.88</v>
      </c>
      <c r="G27" s="3826"/>
      <c r="H27" s="3826"/>
      <c r="I27" s="3826"/>
    </row>
    <row r="28" spans="3:10">
      <c r="C28" s="3826" t="s">
        <v>3425</v>
      </c>
      <c r="D28" s="3826" t="s">
        <v>3430</v>
      </c>
      <c r="E28" s="3826">
        <f t="shared" si="2"/>
        <v>3348.9</v>
      </c>
      <c r="F28" s="3826">
        <v>3348.9</v>
      </c>
      <c r="G28" s="3826"/>
      <c r="H28" s="3826"/>
      <c r="I28" s="3826"/>
    </row>
    <row r="29" spans="3:10">
      <c r="C29" s="3826" t="s">
        <v>3426</v>
      </c>
      <c r="D29" s="3826" t="s">
        <v>3430</v>
      </c>
      <c r="E29" s="3826">
        <f t="shared" si="2"/>
        <v>7939.2300000000005</v>
      </c>
      <c r="F29" s="3826">
        <v>7263.64</v>
      </c>
      <c r="G29" s="3826"/>
      <c r="H29" s="3826"/>
      <c r="I29" s="3826">
        <v>675.59</v>
      </c>
      <c r="J29" s="3446" t="s">
        <v>3419</v>
      </c>
    </row>
    <row r="30" spans="3:10">
      <c r="C30" s="3826" t="s">
        <v>3427</v>
      </c>
      <c r="D30" s="3826" t="s">
        <v>3430</v>
      </c>
      <c r="E30" s="3826">
        <f t="shared" si="2"/>
        <v>3547.34</v>
      </c>
      <c r="F30" s="3826">
        <v>3547.34</v>
      </c>
      <c r="G30" s="3826"/>
      <c r="H30" s="3826"/>
      <c r="I30" s="3826"/>
    </row>
    <row r="31" spans="3:10">
      <c r="C31" s="3826" t="s">
        <v>3428</v>
      </c>
      <c r="D31" s="3826" t="s">
        <v>3430</v>
      </c>
      <c r="E31" s="3826">
        <f t="shared" si="2"/>
        <v>6520.8</v>
      </c>
      <c r="F31" s="3826">
        <v>5530.56</v>
      </c>
      <c r="G31" s="3826"/>
      <c r="H31" s="3826"/>
      <c r="I31" s="3826">
        <v>990.24</v>
      </c>
      <c r="J31" s="3446" t="str">
        <f>J29</f>
        <v>地下设备</v>
      </c>
    </row>
    <row r="32" spans="3:10">
      <c r="C32" s="3826" t="s">
        <v>3429</v>
      </c>
      <c r="D32" s="3826" t="s">
        <v>3430</v>
      </c>
      <c r="E32" s="3826">
        <f t="shared" si="2"/>
        <v>8677.7000000000007</v>
      </c>
      <c r="F32" s="3826"/>
      <c r="G32" s="3826"/>
      <c r="H32" s="3826">
        <f>1415.43+7262.27</f>
        <v>8677.7000000000007</v>
      </c>
      <c r="I32" s="3826"/>
    </row>
    <row r="33" spans="3:9">
      <c r="C33" s="3827" t="s">
        <v>2596</v>
      </c>
      <c r="D33" s="3828"/>
      <c r="E33" s="3826">
        <f>SUM(E24:E32)</f>
        <v>44954.17</v>
      </c>
      <c r="F33" s="3826">
        <f>SUM(F24:F32)</f>
        <v>34610.639999999999</v>
      </c>
      <c r="G33" s="3826">
        <f t="shared" ref="G33:I33" si="3">SUM(G24:G32)</f>
        <v>0</v>
      </c>
      <c r="H33" s="3826">
        <f>SUM(H24:H32)</f>
        <v>8677.7000000000007</v>
      </c>
      <c r="I33" s="3826">
        <f>SUM(I24:I32)</f>
        <v>1665.83</v>
      </c>
    </row>
  </sheetData>
  <mergeCells count="2">
    <mergeCell ref="C20:D20"/>
    <mergeCell ref="C33:D3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8" t="s">
        <v>1108</v>
      </c>
      <c r="F2" s="2655"/>
      <c r="G2" s="2646"/>
      <c r="H2" s="2647"/>
      <c r="I2" s="2321" t="s">
        <v>1132</v>
      </c>
      <c r="J2" s="2655"/>
      <c r="K2" s="2655"/>
      <c r="L2" s="2655"/>
      <c r="M2" s="2655"/>
      <c r="N2" s="2657"/>
      <c r="O2" s="2655"/>
      <c r="P2" s="2655"/>
    </row>
    <row r="3" spans="1:16" ht="15.75" thickBot="1">
      <c r="A3" s="3566" t="s">
        <v>1105</v>
      </c>
      <c r="B3" s="3566"/>
      <c r="C3" s="3566"/>
      <c r="D3" s="43">
        <f>'数据-基础表'!AY6</f>
        <v>18302.099999999999</v>
      </c>
      <c r="E3" s="43">
        <f>'数据-基础表'!AZ5</f>
        <v>44954.17</v>
      </c>
      <c r="F3" s="2655"/>
      <c r="G3" s="1145"/>
      <c r="H3" s="1026" t="s">
        <v>1106</v>
      </c>
      <c r="I3" s="855">
        <f>ROUND('数据-基础表'!B3/'数据-基础表'!A3,2)</f>
        <v>2.46</v>
      </c>
      <c r="J3" s="2655"/>
      <c r="K3" s="2655"/>
      <c r="L3" s="2655"/>
      <c r="M3" s="2655"/>
      <c r="N3" s="2657"/>
      <c r="O3" s="2655"/>
      <c r="P3" s="2655"/>
    </row>
    <row r="4" spans="1:16" ht="15">
      <c r="A4" s="3567"/>
      <c r="B4" s="3568"/>
      <c r="C4" s="3569"/>
      <c r="D4" s="1640" t="s">
        <v>1107</v>
      </c>
      <c r="E4" s="1641" t="s">
        <v>1108</v>
      </c>
      <c r="F4" s="2655"/>
      <c r="G4" s="2648" t="s">
        <v>1133</v>
      </c>
      <c r="H4" s="1026" t="s">
        <v>1113</v>
      </c>
      <c r="I4" s="855">
        <f>ROUND(SUMIF('数据-基础表'!I9:AS9,"地上",'数据-基础表'!I5:AS5)/'数据-基础表'!A3,2)</f>
        <v>2</v>
      </c>
      <c r="J4" s="2655"/>
      <c r="K4" s="2655"/>
      <c r="L4" s="2655"/>
      <c r="M4" s="2655"/>
      <c r="N4" s="2657"/>
      <c r="O4" s="2655"/>
      <c r="P4" s="2655"/>
    </row>
    <row r="5" spans="1:16">
      <c r="A5" s="44" t="s">
        <v>1109</v>
      </c>
      <c r="B5" s="3570" t="s">
        <v>1110</v>
      </c>
      <c r="C5" s="3570"/>
      <c r="D5" s="45">
        <f>ROUND($D$3*E5/$E$3,2)</f>
        <v>14090.96</v>
      </c>
      <c r="E5" s="46">
        <f>SUMIF('数据-基础表'!$11:$11,"住宅",'数据-基础表'!$5:$5)</f>
        <v>34610.639999999999</v>
      </c>
      <c r="F5" s="2655"/>
      <c r="G5" s="1145"/>
      <c r="H5" s="1026" t="s">
        <v>1106</v>
      </c>
      <c r="I5" s="855">
        <f>ROUND(E31/D31,2)</f>
        <v>2.46</v>
      </c>
      <c r="J5" s="2655"/>
      <c r="K5" s="2655"/>
      <c r="L5" s="2655"/>
      <c r="M5" s="2655"/>
      <c r="N5" s="2655"/>
      <c r="O5" s="2655"/>
      <c r="P5" s="2655"/>
    </row>
    <row r="6" spans="1:16" ht="15" thickBot="1">
      <c r="A6" s="1643"/>
      <c r="B6" s="3570" t="s">
        <v>1111</v>
      </c>
      <c r="C6" s="3570"/>
      <c r="D6" s="45">
        <f>ROUND($D$3*E6/$E$3,2)</f>
        <v>4211.1400000000003</v>
      </c>
      <c r="E6" s="46">
        <f>E3-E5</f>
        <v>10343.529999999999</v>
      </c>
      <c r="F6" s="2655"/>
      <c r="G6" s="2649" t="s">
        <v>1112</v>
      </c>
      <c r="H6" s="1146" t="s">
        <v>1113</v>
      </c>
      <c r="I6" s="2650">
        <f>ROUND(F31/D31,2)</f>
        <v>1.89</v>
      </c>
      <c r="J6" s="2655"/>
      <c r="K6" s="2655"/>
      <c r="L6" s="2655"/>
      <c r="M6" s="2655"/>
      <c r="N6" s="2655"/>
      <c r="O6" s="2655"/>
      <c r="P6" s="2655"/>
    </row>
    <row r="7" spans="1:16" ht="15.75" thickBot="1">
      <c r="A7" s="3562"/>
      <c r="B7" s="3563"/>
      <c r="C7" s="3564"/>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14090.96</v>
      </c>
      <c r="E8" s="48">
        <f>SUMIF('数据-基础表'!BB10:BK10,"地上",'数据-基础表'!BB5:BK5)</f>
        <v>34610.639999999999</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3532.93</v>
      </c>
      <c r="E13" s="48">
        <f>SUMPRODUCT(('数据-基础表'!BB10:BK10="地下")*('数据-基础表'!BB11:BK11="车库")*('数据-基础表'!BB5:BK5))</f>
        <v>8677.7000000000007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17623.89</v>
      </c>
      <c r="E16" s="50">
        <f>SUM(E8:E15)</f>
        <v>43288.34</v>
      </c>
      <c r="F16" s="2655"/>
      <c r="G16" s="2656"/>
      <c r="H16" s="1647" t="s">
        <v>1135</v>
      </c>
      <c r="I16" s="1648"/>
      <c r="J16" s="1139"/>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9"/>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14090.96</v>
      </c>
      <c r="E19" s="53">
        <f t="shared" ref="E19:E26" si="1">SUM(F19:G19)</f>
        <v>34610.639999999999</v>
      </c>
      <c r="F19" s="2791">
        <f>'数据-基础表'!I13</f>
        <v>34610.639999999999</v>
      </c>
      <c r="G19" s="2792"/>
      <c r="H19" s="670">
        <f>ROUND($D$3*I19/$E$3,2)</f>
        <v>542.25</v>
      </c>
      <c r="I19" s="48">
        <f t="shared" ref="I19:I26" si="2">IF($I$17="自定义",P19,M19)</f>
        <v>1331.89</v>
      </c>
      <c r="J19" s="1139"/>
      <c r="K19" s="1138">
        <f t="shared" ref="K19:K26" si="3">ROUND(E$28*E19/E$27,2)</f>
        <v>1331.89</v>
      </c>
      <c r="L19" s="1026">
        <f t="shared" ref="L19:L26" si="4">ROUND(IF(COUNTIF(C19,"*住宅*")&gt;0,E$29*E19/E$32,0),2)</f>
        <v>0</v>
      </c>
      <c r="M19" s="1150">
        <f>K19+L19</f>
        <v>1331.89</v>
      </c>
      <c r="N19" s="1667"/>
      <c r="O19" s="1668"/>
      <c r="P19" s="1150">
        <f>N19+O19</f>
        <v>0</v>
      </c>
      <c r="R19" s="1026">
        <f t="shared" ref="R19:S26" si="5">D19+H19</f>
        <v>14633.21</v>
      </c>
      <c r="S19" s="1027">
        <f t="shared" si="5"/>
        <v>35942.53</v>
      </c>
    </row>
    <row r="20" spans="1:19">
      <c r="A20" s="1669"/>
      <c r="B20" s="47" t="s">
        <v>1153</v>
      </c>
      <c r="C20" s="3413" t="s">
        <v>3438</v>
      </c>
      <c r="D20" s="45">
        <f t="shared" ref="D20:D26" si="6">ROUND($D$3*E20/$E$3,2)</f>
        <v>3532.93</v>
      </c>
      <c r="E20" s="53">
        <f t="shared" si="1"/>
        <v>8677.7000000000007</v>
      </c>
      <c r="F20" s="2791"/>
      <c r="G20" s="2792">
        <f>'数据-基础表'!M13</f>
        <v>8677.7000000000007</v>
      </c>
      <c r="H20" s="670">
        <f t="shared" ref="H20:H26" si="7">ROUND($D$3*I20/$E$3,2)</f>
        <v>135.96</v>
      </c>
      <c r="I20" s="48">
        <f t="shared" si="2"/>
        <v>333.94</v>
      </c>
      <c r="J20" s="1139"/>
      <c r="K20" s="1138">
        <f t="shared" si="3"/>
        <v>333.94</v>
      </c>
      <c r="L20" s="1026">
        <f t="shared" si="4"/>
        <v>0</v>
      </c>
      <c r="M20" s="1150">
        <f t="shared" ref="M20:M26" si="8">K20+L20</f>
        <v>333.94</v>
      </c>
      <c r="N20" s="1667"/>
      <c r="O20" s="1668"/>
      <c r="P20" s="1150">
        <f t="shared" ref="P20:P26" si="9">N20+O20</f>
        <v>0</v>
      </c>
      <c r="R20" s="1026">
        <f t="shared" si="5"/>
        <v>3668.89</v>
      </c>
      <c r="S20" s="1027">
        <f t="shared" si="5"/>
        <v>9011.6400000000012</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17623.89</v>
      </c>
      <c r="E27" s="1141">
        <f>IF(SUM(E19:E26)='数据-基础表'!BA5,SUM(E19:E26),IF(F27="地上面积有误","面积有误","地下面积有误"))</f>
        <v>43288.34</v>
      </c>
      <c r="F27" s="1140">
        <f>IF(SUM(F19:F26)=E8,SUM(F19:F26),"地上面积有误")</f>
        <v>34610.639999999999</v>
      </c>
      <c r="G27" s="1142">
        <f>SUM(G19:G26)</f>
        <v>8677.7000000000007</v>
      </c>
      <c r="H27" s="1143">
        <f>SUM(H19:H26)</f>
        <v>678.21</v>
      </c>
      <c r="I27" s="1144">
        <f>SUM(I19:I26)</f>
        <v>1665.8300000000002</v>
      </c>
      <c r="J27" s="1139"/>
      <c r="K27" s="1147">
        <f>SUM(K19:K26)</f>
        <v>1665.8300000000002</v>
      </c>
      <c r="L27" s="1148">
        <f>SUM(L19:L26)</f>
        <v>0</v>
      </c>
      <c r="M27" s="1151">
        <f>SUM(M19:M26)</f>
        <v>1665.8300000000002</v>
      </c>
      <c r="N27" s="1147">
        <f t="shared" ref="N27:O27" si="10">SUM(N19:N26)</f>
        <v>0</v>
      </c>
      <c r="O27" s="1148">
        <f t="shared" si="10"/>
        <v>0</v>
      </c>
      <c r="P27" s="1149">
        <f>SUM(P19:P26)</f>
        <v>0</v>
      </c>
      <c r="R27" s="1028">
        <f>IF(SUM(R19:R26)=$D$3,SUM(R19:R26),SUM(R19:R26)&amp;"误差"&amp;ROUND(SUM(R19:R26)-$D$3,2))</f>
        <v>18302.099999999999</v>
      </c>
      <c r="S27" s="1026">
        <f>IF(SUM(S19:S26)=$E$3,SUM(S19:S26),SUM(S19:S26)&amp;"误差"&amp;ROUND(SUM(S19:S26)-E3,2))</f>
        <v>44954.17</v>
      </c>
    </row>
    <row r="28" spans="1:19">
      <c r="A28" s="1669"/>
      <c r="B28" s="47" t="s">
        <v>1155</v>
      </c>
      <c r="C28" s="1038" t="s">
        <v>1156</v>
      </c>
      <c r="D28" s="45">
        <f>ROUND($D$3*E28/$E$3,2)</f>
        <v>678.21</v>
      </c>
      <c r="E28" s="53">
        <f>SUM(F28:G28)</f>
        <v>1665.83</v>
      </c>
      <c r="F28" s="56">
        <f>'数据-基础表'!BQ5+'数据-基础表'!BS5</f>
        <v>0</v>
      </c>
      <c r="G28" s="57">
        <f>'数据-基础表'!BR5+'数据-基础表'!BT5</f>
        <v>1665.83</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678.21</v>
      </c>
      <c r="E30" s="1140">
        <f>SUM(E28:E29)</f>
        <v>1665.83</v>
      </c>
      <c r="F30" s="1140">
        <f>SUM(F28:F29)</f>
        <v>0</v>
      </c>
      <c r="G30" s="1142">
        <f>SUM(G28:G29)</f>
        <v>1665.83</v>
      </c>
      <c r="H30" s="2655"/>
      <c r="I30" s="2655"/>
      <c r="J30" s="2655"/>
      <c r="K30" s="2655"/>
      <c r="L30" s="2655"/>
      <c r="M30" s="2655"/>
      <c r="N30" s="2655"/>
      <c r="O30" s="2655"/>
      <c r="P30" s="2655"/>
    </row>
    <row r="31" spans="1:19" ht="15.75" thickBot="1">
      <c r="A31" s="1675"/>
      <c r="B31" s="1676"/>
      <c r="C31" s="835" t="s">
        <v>1158</v>
      </c>
      <c r="D31" s="676">
        <f>D27+D30</f>
        <v>18302.099999999999</v>
      </c>
      <c r="E31" s="676">
        <f>E27+E30</f>
        <v>44954.17</v>
      </c>
      <c r="F31" s="677">
        <f>F27+F30</f>
        <v>34610.639999999999</v>
      </c>
      <c r="G31" s="678">
        <f>G27+G30</f>
        <v>10343.530000000001</v>
      </c>
      <c r="H31" s="2655"/>
      <c r="I31" s="2655"/>
      <c r="J31" s="2655"/>
      <c r="K31" s="2655"/>
      <c r="L31" s="2655"/>
      <c r="M31" s="2655"/>
      <c r="N31" s="2655"/>
      <c r="O31" s="2655"/>
      <c r="P31" s="2655"/>
    </row>
    <row r="32" spans="1:19">
      <c r="A32" s="1642"/>
      <c r="B32" s="1642" t="s">
        <v>1159</v>
      </c>
      <c r="C32" s="1642"/>
      <c r="D32" s="1642"/>
      <c r="E32" s="1053">
        <f>SUMIF(C19:C26,"*住宅*",E19:E26)</f>
        <v>34610.639999999999</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H48" sqref="H4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45132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3911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3382</v>
      </c>
      <c r="D6" s="858">
        <f>SUMIF(项目基本情况!C$12:I$12,C6,项目基本情况!C$14:I$14)</f>
        <v>70</v>
      </c>
      <c r="E6" s="857">
        <f>IF(B6="","",SUMIF(项目基本情况!C$12:I$12,C6,项目基本情况!C$13:I$13))</f>
        <v>69313</v>
      </c>
      <c r="F6" s="64">
        <f>SUMIF(项目基本情况!C$12:I$12,C6,项目基本情况!C$15:I$15)</f>
        <v>66.239999999999995</v>
      </c>
      <c r="G6" s="65">
        <f>IF(ISERROR(ROUND(POWER(1+H6,D6-F6)*(POWER(1+H6,F6)-1)/(POWER(1+H6,D6)-1),3)),0,ROUND(POWER(1+H6,D6-F6)*(POWER(1+H6,F6)-1)/(POWER(1+H6,D6)-1),3))</f>
        <v>0.99299999999999999</v>
      </c>
      <c r="H6" s="732">
        <v>0.05</v>
      </c>
      <c r="I6" s="732">
        <v>5.5E-2</v>
      </c>
      <c r="J6" s="66">
        <v>7.0000000000000007E-2</v>
      </c>
      <c r="K6" s="1030">
        <f>SUMIF('数据-汇总表'!C$19:C$33,A6,'数据-汇总表'!E$19:E$33)</f>
        <v>34610.639999999999</v>
      </c>
      <c r="L6" s="733">
        <v>3994</v>
      </c>
      <c r="M6" s="67">
        <f t="shared" ref="M6:M14" si="0">ROUND(K6*L6/10000,0)</f>
        <v>13823</v>
      </c>
      <c r="N6" s="731">
        <v>0</v>
      </c>
      <c r="O6" s="67">
        <f>IF($N$5="成新度","——",ROUND(M6*N6,0))</f>
        <v>0</v>
      </c>
      <c r="P6" s="68">
        <f>IF($N$5="成新度","——",M6-O6)</f>
        <v>13823</v>
      </c>
      <c r="Q6" s="734">
        <v>0.15</v>
      </c>
      <c r="R6" s="69">
        <f ca="1">SUMIF('数据-汇总表'!C$19:C$33,A6,'数据-汇总表'!R$19:R$27)</f>
        <v>14633.21</v>
      </c>
      <c r="S6" s="51">
        <f>IF('数据-汇总表'!$I$17="按面积比例",SUMIF('数据-汇总表'!C$19:C$33,A6,'数据-汇总表'!K$19:K$33),SUMIF('数据-汇总表'!C$19:C$33,A6,'数据-汇总表'!N$19:N$33))</f>
        <v>1331.89</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138234896.16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3339</v>
      </c>
      <c r="D7" s="858">
        <f>SUMIF(项目基本情况!C$12:I$12,C7,项目基本情况!C$14:I$14)</f>
        <v>50</v>
      </c>
      <c r="E7" s="857">
        <f>IF(B7="","",SUMIF(项目基本情况!C$12:I$12,C7,项目基本情况!C$13:I$13))</f>
        <v>62008</v>
      </c>
      <c r="F7" s="64">
        <f>SUMIF(项目基本情况!C$12:I$12,C7,项目基本情况!C$15:I$15)</f>
        <v>46.23</v>
      </c>
      <c r="G7" s="65">
        <f t="shared" ref="G7:G11" si="2">IF(ISERROR(ROUND(POWER(1+H7,D7-F7)*(POWER(1+H7,F7)-1)/(POWER(1+H7,D7)-1),3)),0,ROUND(POWER(1+H7,D7-F7)*(POWER(1+H7,F7)-1)/(POWER(1+H7,D7)-1),3))</f>
        <v>0.98099999999999998</v>
      </c>
      <c r="H7" s="732">
        <v>0.05</v>
      </c>
      <c r="I7" s="732">
        <v>5.5E-2</v>
      </c>
      <c r="J7" s="66">
        <v>7.0000000000000007E-2</v>
      </c>
      <c r="K7" s="1030">
        <f>SUMIF('数据-汇总表'!C$19:C$33,A7,'数据-汇总表'!E$19:E$33)</f>
        <v>8677.7000000000007</v>
      </c>
      <c r="L7" s="733">
        <v>3994</v>
      </c>
      <c r="M7" s="67">
        <f t="shared" si="0"/>
        <v>3466</v>
      </c>
      <c r="N7" s="731">
        <v>0.2</v>
      </c>
      <c r="O7" s="67">
        <f t="shared" ref="O7:O14" si="3">IF($N$5="成新度","——",ROUND(M7*N7,0))</f>
        <v>693</v>
      </c>
      <c r="P7" s="68">
        <f t="shared" ref="P7:P14" si="4">IF($N$5="成新度","——",M7-O7)</f>
        <v>2773</v>
      </c>
      <c r="Q7" s="734">
        <v>0.1</v>
      </c>
      <c r="R7" s="69">
        <f ca="1">SUMIF('数据-汇总表'!C$19:C$33,A7,'数据-汇总表'!R$19:R$27)</f>
        <v>3668.89</v>
      </c>
      <c r="S7" s="51">
        <f>IF('数据-汇总表'!$I$17="按面积比例",SUMIF('数据-汇总表'!C$19:C$33,A7,'数据-汇总表'!K$19:K$33),SUMIF('数据-汇总表'!C$19:C$33,A7,'数据-汇总表'!N$19:N$33))</f>
        <v>333.94</v>
      </c>
      <c r="T7" s="1172">
        <f t="shared" ref="T7:T13" si="5">ROUND($L$14*S7/10000,0)</f>
        <v>0</v>
      </c>
      <c r="U7" s="3424">
        <v>0.6</v>
      </c>
      <c r="V7" s="70">
        <v>2.5000000000000001E-2</v>
      </c>
      <c r="W7" s="70">
        <v>0.1</v>
      </c>
      <c r="X7" s="1040"/>
      <c r="Y7" s="71">
        <v>1</v>
      </c>
      <c r="Z7" s="72"/>
      <c r="AA7" s="66"/>
      <c r="AB7" s="66"/>
      <c r="AC7" s="1040"/>
      <c r="AD7" s="73"/>
      <c r="AE7" s="1041">
        <f t="shared" ref="AE7:AE13" ca="1" si="6">IF(AN7="",0,SUMIF(INDIRECT("'"&amp;AN7&amp;"'"&amp;"!E:E"),$AE$5,INDIRECT("'"&amp;AN7&amp;"'"&amp;"!F:F")))</f>
        <v>44.309999999999995</v>
      </c>
      <c r="AF7" s="1347"/>
      <c r="AG7" s="138">
        <f t="shared" ref="AG7:AG13" si="7">IF(AF7="",0,AE7-AF7)</f>
        <v>0</v>
      </c>
      <c r="AH7" s="74"/>
      <c r="AI7" s="76">
        <v>365</v>
      </c>
      <c r="AJ7" s="77"/>
      <c r="AK7" s="78">
        <v>0.01</v>
      </c>
      <c r="AL7" s="79">
        <v>1E-3</v>
      </c>
      <c r="AM7" s="80">
        <v>0.01</v>
      </c>
      <c r="AN7" s="1714" t="s">
        <v>3928</v>
      </c>
      <c r="AO7" s="52">
        <f t="shared" ref="AO7:AO13" ca="1" si="8">SUMIF(INDIRECT("'"&amp;AN7&amp;"'"&amp;"!A:A"),"总价",INDIRECT("'"&amp;AN7&amp;"'"&amp;"!B:B"))</f>
        <v>2116</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1665.83</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0.99099999999999999</v>
      </c>
      <c r="H16" s="90">
        <f>ROUND(SUMPRODUCT(H6:H13,K6:K13)/SUMPRODUCT((H6:H13&gt;0)*(K6:K13)),3)</f>
        <v>0.05</v>
      </c>
      <c r="I16" s="91"/>
      <c r="J16" s="91"/>
      <c r="K16" s="92">
        <f>SUM(K6:K15)</f>
        <v>44954.17</v>
      </c>
      <c r="L16" s="93">
        <f>ROUND(M16*10000/SUM(K6:K14),0)</f>
        <v>3846</v>
      </c>
      <c r="M16" s="93">
        <f>SUM(M6:M14)</f>
        <v>17289</v>
      </c>
      <c r="N16" s="94">
        <f>ROUND(SUMPRODUCT(M6:M14,N6:N14)/M16,3)</f>
        <v>0.04</v>
      </c>
      <c r="O16" s="93">
        <f>SUM(O6:O14)</f>
        <v>693</v>
      </c>
      <c r="P16" s="93">
        <f>SUM(P6:P14)</f>
        <v>16596</v>
      </c>
      <c r="Q16" s="95">
        <f>ROUND(SUMPRODUCT(Q6:Q13,K6:K13)/SUMPRODUCT((Q6:Q13&gt;0)*(K6:K13)),2)</f>
        <v>0.14000000000000001</v>
      </c>
      <c r="R16" s="1034">
        <f ca="1">SUM(R6:R13)</f>
        <v>18302.099999999999</v>
      </c>
      <c r="S16" s="96">
        <f>SUM(S6:S13)</f>
        <v>1665.8300000000002</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0.08</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3455" t="s">
        <v>3907</v>
      </c>
      <c r="M22" s="2667">
        <v>0.11</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0.08</v>
      </c>
      <c r="C23" s="2669"/>
      <c r="D23" s="2672"/>
      <c r="E23" s="2669"/>
      <c r="F23" s="2669"/>
      <c r="G23" s="2669"/>
      <c r="H23" s="2669"/>
      <c r="I23" s="2669"/>
      <c r="J23" s="2669"/>
      <c r="K23" s="2668"/>
      <c r="L23" s="3455" t="s">
        <v>3908</v>
      </c>
      <c r="M23" s="2667">
        <v>2078.0700000000002</v>
      </c>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1.92</v>
      </c>
      <c r="C24" s="2669"/>
      <c r="D24" s="2672"/>
      <c r="E24" s="2669"/>
      <c r="F24" s="2669"/>
      <c r="G24" s="2669"/>
      <c r="H24" s="2669"/>
      <c r="I24" s="2669"/>
      <c r="J24" s="2669"/>
      <c r="K24" s="2668"/>
      <c r="L24" s="3455" t="s">
        <v>3909</v>
      </c>
      <c r="M24" s="2667">
        <v>416.8</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f>M22+M23+M24</f>
        <v>2494.9800000000005</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f>M25*1.2</f>
        <v>2993.9760000000006</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150</v>
      </c>
      <c r="C27" s="2797" t="s">
        <v>2307</v>
      </c>
      <c r="D27" s="2675"/>
      <c r="E27" s="2657"/>
      <c r="F27" s="2657"/>
      <c r="G27" s="2669"/>
      <c r="H27" s="2669"/>
      <c r="I27" s="2669"/>
      <c r="J27" s="2669"/>
      <c r="K27" s="2668"/>
      <c r="L27" s="3455" t="s">
        <v>3910</v>
      </c>
      <c r="M27" s="2667">
        <v>1000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6"/>
      <c r="D28" s="2675"/>
      <c r="E28" s="2657"/>
      <c r="F28" s="2657"/>
      <c r="G28" s="2669"/>
      <c r="H28" s="2669"/>
      <c r="I28" s="2669"/>
      <c r="J28" s="2669"/>
      <c r="K28" s="2668"/>
      <c r="L28" s="2668"/>
      <c r="M28" s="2667">
        <f>M26+M27</f>
        <v>3993.9760000000006</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成本法!C10+成本法!C9</f>
        <v>716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3830">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71" t="s">
        <v>2286</v>
      </c>
      <c r="B1" s="3572"/>
      <c r="C1" s="3572"/>
      <c r="D1" s="3572"/>
      <c r="E1" s="3572"/>
      <c r="F1" s="3572"/>
      <c r="G1" s="357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8" sqref="M2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80428.970000000016</v>
      </c>
      <c r="C1" s="2682"/>
      <c r="D1" s="2682"/>
      <c r="E1" s="2682"/>
      <c r="F1" s="2682"/>
      <c r="G1" s="2683"/>
      <c r="H1" s="2684"/>
      <c r="I1" s="2684"/>
      <c r="J1" s="2684"/>
      <c r="K1" s="2684"/>
    </row>
    <row r="2" spans="1:11" ht="16.5">
      <c r="A2" s="2508" t="s">
        <v>653</v>
      </c>
      <c r="B2" s="2508">
        <f>SUM(C14:C23)</f>
        <v>18302.099999999999</v>
      </c>
      <c r="C2" s="2682"/>
      <c r="D2" s="2682"/>
      <c r="E2" s="2682"/>
      <c r="F2" s="2682"/>
      <c r="G2" s="2683"/>
      <c r="H2" s="2684"/>
      <c r="I2" s="2684"/>
      <c r="J2" s="2684"/>
      <c r="K2" s="2684"/>
    </row>
    <row r="3" spans="1:11" ht="16.5">
      <c r="A3" s="2508" t="s">
        <v>662</v>
      </c>
      <c r="B3" s="2510">
        <f>项目基本情况!D3</f>
        <v>45132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175955</v>
      </c>
      <c r="C5" s="2508">
        <f ca="1">IF(B5=D14,结果表!H102,ROUND(B5*10000/$B$1,0))</f>
        <v>21877</v>
      </c>
      <c r="D5" s="2508">
        <f ca="1">ROUND(B5*10000/$B$2,0)</f>
        <v>96139</v>
      </c>
      <c r="E5" s="2682"/>
      <c r="F5" s="2683"/>
      <c r="G5" s="2683"/>
      <c r="H5" s="2684"/>
      <c r="I5" s="2684"/>
      <c r="J5" s="2684"/>
      <c r="K5" s="2684"/>
    </row>
    <row r="6" spans="1:11" ht="16.5">
      <c r="A6" s="2508" t="s">
        <v>656</v>
      </c>
      <c r="B6" s="2508">
        <f ca="1">SUM(G14:G23)</f>
        <v>175955</v>
      </c>
      <c r="C6" s="2508">
        <f ca="1">IF(B6=G14,结果表!H108,ROUND(B6*10000/$B$1,0))</f>
        <v>21877</v>
      </c>
      <c r="D6" s="2508">
        <f ca="1">ROUND(B6*10000/$B$2,0)</f>
        <v>96139</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44954.17</v>
      </c>
      <c r="C14" s="2514">
        <f>结果表!C118</f>
        <v>18302.099999999999</v>
      </c>
      <c r="D14" s="2514">
        <f ca="1">结果表!H118</f>
        <v>79064</v>
      </c>
      <c r="E14" s="2514">
        <f ca="1">ROUND(D14*10000/B14,0)</f>
        <v>17588</v>
      </c>
      <c r="F14" s="2514">
        <f ca="1">ROUND(D14*10000/C14,0)</f>
        <v>43199</v>
      </c>
      <c r="G14" s="2514">
        <f ca="1">结果表!D122</f>
        <v>79064</v>
      </c>
      <c r="H14" s="2514"/>
      <c r="I14" s="2514"/>
      <c r="J14" s="2683"/>
      <c r="K14" s="2684"/>
    </row>
    <row r="15" spans="1:11" ht="16.5">
      <c r="A15" s="2513" t="s">
        <v>649</v>
      </c>
      <c r="B15" s="2515">
        <f>[3]系统读取表!$B$14</f>
        <v>26390.010000000006</v>
      </c>
      <c r="C15" s="2515"/>
      <c r="D15" s="2515">
        <f ca="1">[3]系统读取表!$D$14</f>
        <v>92838</v>
      </c>
      <c r="E15" s="2514">
        <f t="shared" ref="E15:E23" ca="1" si="0">ROUND(D15*10000/B15,0)</f>
        <v>35179</v>
      </c>
      <c r="F15" s="2514" t="e">
        <f t="shared" ref="F15:F23" ca="1" si="1">ROUND(D15*10000/C15,0)</f>
        <v>#DIV/0!</v>
      </c>
      <c r="G15" s="1330">
        <f ca="1">[3]系统读取表!$G$14</f>
        <v>92838</v>
      </c>
      <c r="H15" s="1330"/>
      <c r="I15" s="2515"/>
      <c r="J15" s="2683"/>
      <c r="K15" s="2684"/>
    </row>
    <row r="16" spans="1:11" ht="16.5">
      <c r="A16" s="2513" t="s">
        <v>648</v>
      </c>
      <c r="B16" s="2515">
        <f>[3]系统读取表!$B$15</f>
        <v>4564.170000000011</v>
      </c>
      <c r="C16" s="2515"/>
      <c r="D16" s="2515">
        <f ca="1">[3]系统读取表!$D$15</f>
        <v>1734</v>
      </c>
      <c r="E16" s="2514">
        <f t="shared" ca="1" si="0"/>
        <v>3799</v>
      </c>
      <c r="F16" s="2514" t="e">
        <f t="shared" ca="1" si="1"/>
        <v>#DIV/0!</v>
      </c>
      <c r="G16" s="1330">
        <f ca="1">D16</f>
        <v>1734</v>
      </c>
      <c r="H16" s="1330"/>
      <c r="I16" s="2515"/>
      <c r="J16" s="2684"/>
      <c r="K16" s="2684"/>
    </row>
    <row r="17" spans="1:11" ht="16.5">
      <c r="A17" s="2513" t="s">
        <v>647</v>
      </c>
      <c r="B17" s="2515">
        <f>[3]系统读取表!$B$16</f>
        <v>4520.6200000000008</v>
      </c>
      <c r="C17" s="2515"/>
      <c r="D17" s="2515">
        <f ca="1">[3]系统读取表!$D$16</f>
        <v>2319</v>
      </c>
      <c r="E17" s="2514">
        <f t="shared" ca="1" si="0"/>
        <v>5130</v>
      </c>
      <c r="F17" s="2514" t="e">
        <f t="shared" ca="1" si="1"/>
        <v>#DIV/0!</v>
      </c>
      <c r="G17" s="1330">
        <f ca="1">D17</f>
        <v>2319</v>
      </c>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Q37" sqref="Q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3" t="s">
        <v>1265</v>
      </c>
      <c r="B4" s="1754" t="s">
        <v>1266</v>
      </c>
      <c r="C4" s="1755" t="s">
        <v>3953</v>
      </c>
      <c r="D4" s="1755" t="s">
        <v>3954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7" t="s">
        <v>1268</v>
      </c>
      <c r="B5" s="3574">
        <v>25</v>
      </c>
      <c r="C5" s="3590"/>
      <c r="D5" s="3610"/>
      <c r="E5" s="131" t="s">
        <v>1269</v>
      </c>
      <c r="F5" s="1756"/>
      <c r="G5" s="1756"/>
      <c r="H5" s="1756"/>
      <c r="I5" s="1372"/>
    </row>
    <row r="6" spans="1:12" ht="12.75">
      <c r="A6" s="3587"/>
      <c r="B6" s="3574"/>
      <c r="C6" s="3591"/>
      <c r="D6" s="3610"/>
      <c r="E6" s="131" t="s">
        <v>1270</v>
      </c>
      <c r="F6" s="1756"/>
      <c r="G6" s="1756"/>
      <c r="H6" s="1756"/>
      <c r="I6" s="1372"/>
    </row>
    <row r="7" spans="1:12" ht="12.75">
      <c r="A7" s="3587"/>
      <c r="B7" s="3574"/>
      <c r="C7" s="3592"/>
      <c r="D7" s="3610"/>
      <c r="E7" s="131" t="s">
        <v>1271</v>
      </c>
      <c r="F7" s="1756"/>
      <c r="G7" s="1756"/>
      <c r="H7" s="1756"/>
      <c r="I7" s="1372"/>
    </row>
    <row r="8" spans="1:12" ht="12.75">
      <c r="A8" s="3587" t="s">
        <v>1272</v>
      </c>
      <c r="B8" s="3574">
        <v>15</v>
      </c>
      <c r="C8" s="3590"/>
      <c r="D8" s="3610"/>
      <c r="E8" s="131" t="s">
        <v>1273</v>
      </c>
      <c r="F8" s="1756"/>
      <c r="G8" s="1756"/>
      <c r="H8" s="1756"/>
      <c r="I8" s="1372"/>
    </row>
    <row r="9" spans="1:12" ht="12.75">
      <c r="A9" s="3587"/>
      <c r="B9" s="3574"/>
      <c r="C9" s="3592"/>
      <c r="D9" s="3610"/>
      <c r="E9" s="131" t="s">
        <v>1274</v>
      </c>
      <c r="F9" s="1756"/>
      <c r="G9" s="1756"/>
      <c r="H9" s="1756"/>
      <c r="I9" s="1372"/>
    </row>
    <row r="10" spans="1:12" ht="12.75">
      <c r="A10" s="3587" t="s">
        <v>1275</v>
      </c>
      <c r="B10" s="3574">
        <v>15</v>
      </c>
      <c r="C10" s="3590"/>
      <c r="D10" s="3610"/>
      <c r="E10" s="131" t="s">
        <v>1276</v>
      </c>
      <c r="F10" s="1756"/>
      <c r="G10" s="1756"/>
      <c r="H10" s="1756"/>
      <c r="I10" s="1372"/>
    </row>
    <row r="11" spans="1:12" ht="12.75">
      <c r="A11" s="3587"/>
      <c r="B11" s="3574"/>
      <c r="C11" s="3592"/>
      <c r="D11" s="3610"/>
      <c r="E11" s="131" t="s">
        <v>1277</v>
      </c>
      <c r="F11" s="1756"/>
      <c r="G11" s="1756"/>
      <c r="H11" s="1756"/>
      <c r="I11" s="1372"/>
    </row>
    <row r="12" spans="1:12" ht="12.75">
      <c r="A12" s="3587" t="s">
        <v>1278</v>
      </c>
      <c r="B12" s="3574">
        <v>15</v>
      </c>
      <c r="C12" s="3590"/>
      <c r="D12" s="3610"/>
      <c r="E12" s="131" t="s">
        <v>1279</v>
      </c>
      <c r="F12" s="1756"/>
      <c r="G12" s="1756"/>
      <c r="H12" s="1756"/>
      <c r="I12" s="1372"/>
    </row>
    <row r="13" spans="1:12" ht="12.75">
      <c r="A13" s="3587"/>
      <c r="B13" s="3574"/>
      <c r="C13" s="3592"/>
      <c r="D13" s="3610"/>
      <c r="E13" s="131" t="s">
        <v>1280</v>
      </c>
      <c r="F13" s="1756"/>
      <c r="G13" s="1756"/>
      <c r="H13" s="1756"/>
      <c r="I13" s="1372"/>
    </row>
    <row r="14" spans="1:12" ht="12.75">
      <c r="A14" s="3587" t="s">
        <v>1281</v>
      </c>
      <c r="B14" s="3574">
        <v>30</v>
      </c>
      <c r="C14" s="3590">
        <v>5</v>
      </c>
      <c r="D14" s="3610">
        <v>5</v>
      </c>
      <c r="E14" s="131" t="s">
        <v>1282</v>
      </c>
      <c r="F14" s="1756"/>
      <c r="G14" s="1756"/>
      <c r="H14" s="1756"/>
      <c r="I14" s="1372"/>
    </row>
    <row r="15" spans="1:12" ht="12.75">
      <c r="A15" s="3587"/>
      <c r="B15" s="3574"/>
      <c r="C15" s="3591"/>
      <c r="D15" s="3610"/>
      <c r="E15" s="131" t="s">
        <v>1283</v>
      </c>
      <c r="F15" s="1756"/>
      <c r="G15" s="1756"/>
      <c r="H15" s="1756"/>
      <c r="I15" s="1372"/>
    </row>
    <row r="16" spans="1:12" ht="12.75">
      <c r="A16" s="3587"/>
      <c r="B16" s="3574"/>
      <c r="C16" s="3592"/>
      <c r="D16" s="3610"/>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97" t="s">
        <v>2131</v>
      </c>
      <c r="F18" s="3598"/>
      <c r="G18" s="3598"/>
      <c r="H18" s="3598"/>
      <c r="I18" s="3598"/>
      <c r="K18" s="302" t="s">
        <v>1289</v>
      </c>
      <c r="L18" s="302">
        <f>IF(C1="",'数据-汇总表'!E3,SUMIF(项目类型,C1,'数据-汇总表'!E17:E26)+SUMIF(项目类型,C1,'数据-汇总表'!I17:I26))</f>
        <v>44954.17</v>
      </c>
      <c r="M18" s="302">
        <f>IF(C1="",'数据-汇总表'!E3,SUMIF(项目类型,C1,'数据-汇总表'!E17:E26))</f>
        <v>44954.17</v>
      </c>
    </row>
    <row r="19" spans="1:36" ht="15">
      <c r="A19" s="1760" t="s">
        <v>1290</v>
      </c>
      <c r="B19" s="1761" t="s">
        <v>1291</v>
      </c>
      <c r="C19" s="134">
        <f ca="1">SUMIF(INDIRECT("'"&amp;C4&amp;"'"&amp;"!A:A"),结果表!B19,INDIRECT("'"&amp;C4&amp;"'"&amp;"!B:B"))</f>
        <v>79316</v>
      </c>
      <c r="D19" s="135">
        <f ca="1">SUMIF(INDIRECT("'"&amp;D4&amp;"'"&amp;"!A:A"),结果表!B19,INDIRECT("'"&amp;D4&amp;"'"&amp;"!B:B"))</f>
        <v>78812</v>
      </c>
      <c r="E19" s="1760" t="s">
        <v>1292</v>
      </c>
      <c r="F19" s="1761" t="s">
        <v>1291</v>
      </c>
      <c r="G19" s="136">
        <f ca="1">ROUND(C19*$C$18+D19*$D$18,0)</f>
        <v>79064</v>
      </c>
      <c r="H19" s="1762" t="s">
        <v>1293</v>
      </c>
      <c r="I19" s="129"/>
      <c r="K19" s="302" t="s">
        <v>1294</v>
      </c>
      <c r="L19" s="302">
        <f>IF(C1="",'数据-汇总表'!D3,SUMIF(项目类型,C1,'数据-汇总表'!D17:D26)+SUMIF(项目类型,C1,'数据-汇总表'!H17:H27))</f>
        <v>18302.099999999999</v>
      </c>
      <c r="M19" s="302">
        <f>IF(C1="",'数据-汇总表'!D3,SUMIF(项目类型,C1,'数据-汇总表'!D17:D26))</f>
        <v>18302.099999999999</v>
      </c>
    </row>
    <row r="20" spans="1:36" ht="15">
      <c r="A20" s="1763"/>
      <c r="B20" s="1026" t="s">
        <v>1295</v>
      </c>
      <c r="C20" s="137">
        <f ca="1">SUMIF(INDIRECT("'"&amp;C4&amp;"'"&amp;"!A:A"),结果表!B20,INDIRECT("'"&amp;C4&amp;"'"&amp;"!B:B"))</f>
        <v>17644</v>
      </c>
      <c r="D20" s="138">
        <f ca="1">SUMIF(INDIRECT("'"&amp;D4&amp;"'"&amp;"!A:A"),结果表!B20,INDIRECT("'"&amp;D4&amp;"'"&amp;"!B:B"))</f>
        <v>17532</v>
      </c>
      <c r="E20" s="1763"/>
      <c r="F20" s="1026" t="s">
        <v>1295</v>
      </c>
      <c r="G20" s="139">
        <f ca="1">ROUND(C20*$C$18+D20*$D$18,0)</f>
        <v>17588</v>
      </c>
      <c r="H20" s="808" t="s">
        <v>1296</v>
      </c>
      <c r="I20" s="129"/>
    </row>
    <row r="21" spans="1:36" ht="15" customHeight="1" thickBot="1">
      <c r="A21" s="828"/>
      <c r="B21" s="1764" t="s">
        <v>1297</v>
      </c>
      <c r="C21" s="719">
        <f ca="1">ROUND(C19*10000/L19,0)</f>
        <v>43337</v>
      </c>
      <c r="D21" s="720">
        <f ca="1">ROUND(D19*10000/L19,0)</f>
        <v>43062</v>
      </c>
      <c r="E21" s="828"/>
      <c r="F21" s="1764" t="s">
        <v>1297</v>
      </c>
      <c r="G21" s="140">
        <f ca="1">ROUND(G19*10000/L19,0)</f>
        <v>43199</v>
      </c>
      <c r="H21" s="1765" t="s">
        <v>1296</v>
      </c>
      <c r="I21" s="129"/>
    </row>
    <row r="22" spans="1:36" ht="15" thickBot="1">
      <c r="A22" s="1687" t="s">
        <v>1298</v>
      </c>
      <c r="B22" s="1766"/>
      <c r="C22" s="1767"/>
      <c r="D22" s="721">
        <f ca="1">IF(C19&lt;D19,D19/C19-1,C19/D19-1)</f>
        <v>6.3949652337207397E-3</v>
      </c>
      <c r="E22" s="129"/>
      <c r="F22" s="129"/>
      <c r="G22" s="129"/>
      <c r="H22" s="129"/>
      <c r="I22" s="129"/>
    </row>
    <row r="23" spans="1:36" ht="13.5" thickBot="1">
      <c r="A23" s="1746"/>
      <c r="B23" s="1746"/>
      <c r="C23" s="1746"/>
      <c r="D23" s="1746"/>
      <c r="E23" s="129"/>
      <c r="F23" s="129"/>
      <c r="G23" s="129"/>
      <c r="H23" s="129"/>
      <c r="I23" s="129"/>
    </row>
    <row r="24" spans="1:36" ht="14.25">
      <c r="A24" s="3581" t="s">
        <v>1299</v>
      </c>
      <c r="B24" s="1761" t="s">
        <v>1291</v>
      </c>
      <c r="C24" s="136">
        <f>IF(B30=0,0,D30)</f>
        <v>0</v>
      </c>
      <c r="D24" s="1768"/>
      <c r="E24" s="129"/>
      <c r="F24" s="129"/>
      <c r="G24" s="129"/>
      <c r="H24" s="129"/>
      <c r="I24" s="129"/>
    </row>
    <row r="25" spans="1:36" ht="14.25">
      <c r="A25" s="358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79064</v>
      </c>
      <c r="D32" s="1774" t="s">
        <v>3955</v>
      </c>
      <c r="E32" s="129"/>
      <c r="F32" s="129"/>
      <c r="G32" s="129"/>
      <c r="H32" s="129"/>
      <c r="I32" s="129"/>
    </row>
    <row r="33" spans="1:15" ht="15">
      <c r="A33" s="786" t="s">
        <v>1306</v>
      </c>
      <c r="B33" s="1775"/>
      <c r="C33" s="1776" t="s">
        <v>3956</v>
      </c>
      <c r="D33" s="1777" t="s">
        <v>3953</v>
      </c>
      <c r="E33" s="1778" t="s">
        <v>1307</v>
      </c>
      <c r="F33" s="1779" t="str">
        <f>IF(D32="楼面单价","取值（单价）","取值（总价）")</f>
        <v>取值（总价）</v>
      </c>
      <c r="G33" s="129"/>
      <c r="H33" s="129"/>
      <c r="I33" s="129"/>
    </row>
    <row r="34" spans="1:15" ht="15">
      <c r="A34" s="1780"/>
      <c r="B34" s="1781" t="s">
        <v>1308</v>
      </c>
      <c r="C34" s="148">
        <f ca="1">IF(C33="自定义",F34,C32-C35)</f>
        <v>78115</v>
      </c>
      <c r="D34" s="861">
        <f ca="1">IF(C33="自定义",ROUND(C34/C32,3),IF(C33="收益比率",SUMIF(INDIRECT("'"&amp;D33&amp;"'"&amp;"!b:b"),"土地收益比率",INDIRECT("'"&amp;D33&amp;"'"&amp;"!c:c")),SUMIF(INDIRECT("'"&amp;D33&amp;"'"&amp;"!b:b"),"土地成本比率",INDIRECT("'"&amp;D33&amp;"'"&amp;"!c:c"))))</f>
        <v>0.98799999999999999</v>
      </c>
      <c r="E34" s="1782" t="s">
        <v>1309</v>
      </c>
      <c r="F34" s="1329"/>
      <c r="G34" s="129"/>
      <c r="H34" s="129"/>
      <c r="I34" s="129"/>
    </row>
    <row r="35" spans="1:15" ht="15.75" thickBot="1">
      <c r="A35" s="1783"/>
      <c r="B35" s="1784" t="s">
        <v>1310</v>
      </c>
      <c r="C35" s="1170">
        <f ca="1">IF(C33="自定义",F35,ROUND(C32*D35,0))</f>
        <v>949</v>
      </c>
      <c r="D35" s="1171">
        <f ca="1">IF(C33="自定义",ROUND(C35/C32,3),IF(C33="收益比率",SUMIF(INDIRECT("'"&amp;D33&amp;"'"&amp;"!b:b"),"建筑物收益比率",INDIRECT("'"&amp;D33&amp;"'"&amp;"!c:c")),SUMIF(INDIRECT("'"&amp;D33&amp;"'"&amp;"!b:b"),"建筑物成本比率",INDIRECT("'"&amp;D33&amp;"'"&amp;"!c:c"))))</f>
        <v>1.2E-2</v>
      </c>
      <c r="E35" s="1785" t="s">
        <v>1311</v>
      </c>
      <c r="F35" s="154"/>
      <c r="G35" s="129"/>
      <c r="H35" s="129"/>
      <c r="I35" s="129"/>
    </row>
    <row r="36" spans="1:15" ht="15.75" thickBot="1">
      <c r="A36" s="3601" t="s">
        <v>1312</v>
      </c>
      <c r="B36" s="1786" t="s">
        <v>1313</v>
      </c>
      <c r="C36" s="145"/>
      <c r="D36" s="1787"/>
      <c r="E36" s="1788"/>
      <c r="F36" s="1789"/>
      <c r="G36" s="129"/>
      <c r="H36" s="129"/>
      <c r="I36" s="129"/>
    </row>
    <row r="37" spans="1:15" ht="15.75" thickBot="1">
      <c r="A37" s="3602"/>
      <c r="B37" s="1673" t="s">
        <v>1314</v>
      </c>
      <c r="C37" s="147"/>
      <c r="D37" s="1139"/>
      <c r="E37" s="1139"/>
      <c r="F37" s="1789"/>
      <c r="G37" s="129"/>
      <c r="H37" s="129"/>
      <c r="I37" s="129"/>
    </row>
    <row r="38" spans="1:15" ht="15.75" thickBot="1">
      <c r="A38" s="360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8" t="s">
        <v>1326</v>
      </c>
      <c r="B45" s="3579"/>
      <c r="C45" s="3580"/>
      <c r="D45" s="155">
        <f ca="1">ROUND(H101*F45,0)</f>
        <v>79064</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5"/>
      <c r="I46" s="159"/>
      <c r="J46" s="2519">
        <v>1</v>
      </c>
      <c r="K46" s="3637" t="s">
        <v>1331</v>
      </c>
      <c r="L46" s="3637"/>
      <c r="M46" s="3657"/>
      <c r="N46" s="3657"/>
      <c r="O46" s="3657"/>
    </row>
    <row r="47" spans="1:15" ht="12" customHeight="1">
      <c r="A47" s="160" t="s">
        <v>1332</v>
      </c>
      <c r="B47" s="161"/>
      <c r="C47" s="162"/>
      <c r="D47" s="1087" t="s">
        <v>1333</v>
      </c>
      <c r="E47" s="302" t="s">
        <v>1334</v>
      </c>
      <c r="F47" s="163" t="s">
        <v>1335</v>
      </c>
      <c r="G47" s="2542" t="s">
        <v>1336</v>
      </c>
      <c r="H47" s="2543"/>
      <c r="I47" s="159"/>
      <c r="J47" s="2519">
        <v>2</v>
      </c>
      <c r="K47" s="3637" t="s">
        <v>1337</v>
      </c>
      <c r="L47" s="3637"/>
      <c r="M47" s="3658">
        <f>'数据-取费表'!B2</f>
        <v>45132</v>
      </c>
      <c r="N47" s="3658"/>
      <c r="O47" s="3658"/>
    </row>
    <row r="48" spans="1:15" ht="25.5">
      <c r="A48" s="3606" t="s">
        <v>1338</v>
      </c>
      <c r="B48" s="3589"/>
      <c r="C48" s="3589"/>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5"/>
      <c r="J48" s="2519">
        <v>3</v>
      </c>
      <c r="K48" s="3637" t="s">
        <v>1340</v>
      </c>
      <c r="L48" s="3637"/>
      <c r="M48" s="3659">
        <f ca="1">H101</f>
        <v>79064</v>
      </c>
      <c r="N48" s="3659"/>
      <c r="O48" s="3659"/>
    </row>
    <row r="49" spans="1:35" ht="25.5" customHeight="1">
      <c r="A49" s="2329" t="s">
        <v>1341</v>
      </c>
      <c r="B49" s="3573" t="s">
        <v>1342</v>
      </c>
      <c r="C49" s="3573"/>
      <c r="D49" s="1589">
        <v>0</v>
      </c>
      <c r="E49" s="324" t="s">
        <v>1343</v>
      </c>
      <c r="F49" s="2420" t="s">
        <v>28</v>
      </c>
      <c r="G49" s="3643"/>
      <c r="H49" s="2306" t="s">
        <v>2134</v>
      </c>
      <c r="I49" s="2307"/>
      <c r="J49" s="2519">
        <v>4</v>
      </c>
      <c r="K49" s="3637" t="str">
        <f>IF(项目基本情况!E8="房地产抵押价值","房地产抵押价值","抵押担保权已注销时的房地产抵押价值")</f>
        <v>房地产抵押价值</v>
      </c>
      <c r="L49" s="3637"/>
      <c r="M49" s="3659">
        <f ca="1">IF(项目基本情况!E8="房地产抵押价值",H107,H109)</f>
        <v>79064</v>
      </c>
      <c r="N49" s="3659"/>
      <c r="O49" s="3659"/>
    </row>
    <row r="50" spans="1:35" ht="25.5" customHeight="1">
      <c r="A50" s="2547"/>
      <c r="B50" s="3573" t="s">
        <v>1344</v>
      </c>
      <c r="C50" s="3573"/>
      <c r="D50" s="2548"/>
      <c r="E50" s="332"/>
      <c r="F50" s="2420"/>
      <c r="G50" s="3644"/>
      <c r="H50" s="2308" t="s">
        <v>2135</v>
      </c>
      <c r="I50" s="2307"/>
      <c r="J50" s="3656" t="s">
        <v>1345</v>
      </c>
      <c r="K50" s="3656"/>
      <c r="L50" s="3656"/>
      <c r="M50" s="3656"/>
      <c r="N50" s="3656"/>
      <c r="O50" s="3656"/>
    </row>
    <row r="51" spans="1:35" ht="20.45" customHeight="1">
      <c r="A51" s="2549"/>
      <c r="B51" s="3573" t="s">
        <v>1346</v>
      </c>
      <c r="C51" s="3573"/>
      <c r="D51" s="1087"/>
      <c r="E51" s="327"/>
      <c r="F51" s="2420"/>
      <c r="G51" s="3645"/>
      <c r="H51" s="2308" t="s">
        <v>2136</v>
      </c>
      <c r="I51" s="2307"/>
      <c r="J51" s="2520" t="s">
        <v>1347</v>
      </c>
      <c r="K51" s="3637" t="s">
        <v>1348</v>
      </c>
      <c r="L51" s="3637"/>
      <c r="M51" s="2520" t="s">
        <v>1349</v>
      </c>
      <c r="N51" s="2520" t="s">
        <v>1350</v>
      </c>
      <c r="O51" s="2520" t="s">
        <v>1351</v>
      </c>
    </row>
    <row r="52" spans="1:35" ht="24" customHeight="1">
      <c r="A52" s="2331" t="s">
        <v>1352</v>
      </c>
      <c r="B52" s="3573" t="s">
        <v>1353</v>
      </c>
      <c r="C52" s="3573"/>
      <c r="D52" s="1087">
        <f ca="1">ROUND(D45*'数据-取费表'!B41/(1+'数据-取费表'!C42),0)</f>
        <v>4141</v>
      </c>
      <c r="E52" s="2330" t="s">
        <v>1354</v>
      </c>
      <c r="F52" s="2550">
        <f>'数据-取费表'!B41</f>
        <v>5.5000000000000007E-2</v>
      </c>
      <c r="G52" s="2551"/>
      <c r="H52" s="2540"/>
      <c r="I52" s="1806"/>
      <c r="J52" s="2519">
        <v>1</v>
      </c>
      <c r="K52" s="3638" t="s">
        <v>1355</v>
      </c>
      <c r="L52" s="3638"/>
      <c r="M52" s="2521" t="b">
        <f>D48</f>
        <v>0</v>
      </c>
      <c r="N52" s="2519" t="str">
        <f>E48</f>
        <v>销售额×税（费）率</v>
      </c>
      <c r="O52" s="2522">
        <f>F48</f>
        <v>5.5000000000000007E-2</v>
      </c>
    </row>
    <row r="53" spans="1:35" ht="12" customHeight="1">
      <c r="A53" s="2331" t="s">
        <v>1356</v>
      </c>
      <c r="B53" s="3599" t="s">
        <v>2291</v>
      </c>
      <c r="C53" s="3600"/>
      <c r="D53" s="1087">
        <f ca="1">ROUND(D45*'数据-取费表'!B41/(1+'数据-取费表'!C42),0)</f>
        <v>4141</v>
      </c>
      <c r="E53" s="2330" t="s">
        <v>1354</v>
      </c>
      <c r="F53" s="2550">
        <f>'数据-取费表'!B41</f>
        <v>5.5000000000000007E-2</v>
      </c>
      <c r="G53" s="2551"/>
      <c r="H53" s="2540"/>
      <c r="I53" s="1806"/>
      <c r="J53" s="2519">
        <v>2</v>
      </c>
      <c r="K53" s="3638" t="s">
        <v>1357</v>
      </c>
      <c r="L53" s="3638"/>
      <c r="M53" s="2521">
        <f t="shared" ref="M53:O54" ca="1" si="0">D55</f>
        <v>40</v>
      </c>
      <c r="N53" s="2519" t="str">
        <f t="shared" si="0"/>
        <v>销售额×税（费）率</v>
      </c>
      <c r="O53" s="2522" t="str">
        <f t="shared" si="0"/>
        <v>免征</v>
      </c>
    </row>
    <row r="54" spans="1:35" ht="12" customHeight="1">
      <c r="A54" s="2331" t="s">
        <v>1358</v>
      </c>
      <c r="B54" s="3599" t="s">
        <v>2292</v>
      </c>
      <c r="C54" s="3600"/>
      <c r="D54" s="1087">
        <f ca="1">C68</f>
        <v>4141</v>
      </c>
      <c r="E54" s="327" t="s">
        <v>1359</v>
      </c>
      <c r="F54" s="2550">
        <f>'数据-取费表'!B41</f>
        <v>5.5000000000000007E-2</v>
      </c>
      <c r="G54" s="2551"/>
      <c r="H54" s="2552"/>
      <c r="I54" s="1806"/>
      <c r="J54" s="2519">
        <v>3</v>
      </c>
      <c r="K54" s="3638" t="s">
        <v>1360</v>
      </c>
      <c r="L54" s="3638"/>
      <c r="M54" s="2521">
        <f t="shared" ca="1" si="0"/>
        <v>44822</v>
      </c>
      <c r="N54" s="2519" t="str">
        <f t="shared" si="0"/>
        <v>增值额×税（费）率</v>
      </c>
      <c r="O54" s="2523" t="str">
        <f t="shared" si="0"/>
        <v>免征</v>
      </c>
    </row>
    <row r="55" spans="1:35" ht="24" customHeight="1">
      <c r="A55" s="3588" t="s">
        <v>1361</v>
      </c>
      <c r="B55" s="3589"/>
      <c r="C55" s="3589"/>
      <c r="D55" s="2320">
        <f ca="1">IF(H55="个人住宅",0,ROUND(D45*I55,0))</f>
        <v>40</v>
      </c>
      <c r="E55" s="2330" t="s">
        <v>1362</v>
      </c>
      <c r="F55" s="2550" t="str">
        <f>IF(H55="正常",I55,"免征")</f>
        <v>免征</v>
      </c>
      <c r="G55" s="2551"/>
      <c r="H55" s="2546"/>
      <c r="I55" s="165">
        <f>'数据-取费表'!B49</f>
        <v>5.0000000000000001E-4</v>
      </c>
      <c r="J55" s="2519">
        <f>IF(H59="非个人房产","",4)</f>
        <v>4</v>
      </c>
      <c r="K55" s="3638" t="str">
        <f>IF(H59="非个人房产","——","个人所得税")</f>
        <v>个人所得税</v>
      </c>
      <c r="L55" s="3638"/>
      <c r="M55" s="2524">
        <f ca="1">D59</f>
        <v>753</v>
      </c>
      <c r="N55" s="2036" t="str">
        <f>E59</f>
        <v>差额计税</v>
      </c>
      <c r="O55" s="2525">
        <f>F59</f>
        <v>0.01</v>
      </c>
    </row>
    <row r="56" spans="1:35" ht="24.75">
      <c r="A56" s="3588" t="s">
        <v>1363</v>
      </c>
      <c r="B56" s="3589"/>
      <c r="C56" s="3589"/>
      <c r="D56" s="2320">
        <f ca="1">IF(H56="个人住宅",D57,D58)</f>
        <v>44822</v>
      </c>
      <c r="E56" s="2330" t="s">
        <v>1364</v>
      </c>
      <c r="F56" s="2550" t="str">
        <f>IF(H56="正常",F58,"免征")</f>
        <v>免征</v>
      </c>
      <c r="G56" s="2553" t="s">
        <v>1365</v>
      </c>
      <c r="H56" s="2554"/>
      <c r="I56" s="1807"/>
      <c r="J56" s="2519" t="str">
        <f>IF(项目基本情况!K6="上海银行",IF(J55="",4,J55+1),"")</f>
        <v/>
      </c>
      <c r="K56" s="3661" t="str">
        <f>IF(项目基本情况!K6="上海银行","其他处置费用","")</f>
        <v/>
      </c>
      <c r="L56" s="3662"/>
      <c r="M56" s="2521" t="str">
        <f>IF(项目基本情况!K6="上海银行",M69,"")</f>
        <v/>
      </c>
      <c r="N56" s="3661" t="str">
        <f>IF(项目基本情况!K6="上海银行","包含处置中涉及的律师、诉讼、拍卖、评估等费用","")</f>
        <v/>
      </c>
      <c r="O56" s="3664"/>
    </row>
    <row r="57" spans="1:35" ht="12.75">
      <c r="A57" s="2331" t="s">
        <v>1341</v>
      </c>
      <c r="B57" s="3599" t="s">
        <v>1366</v>
      </c>
      <c r="C57" s="3600"/>
      <c r="D57" s="1589">
        <v>0</v>
      </c>
      <c r="E57" s="324" t="s">
        <v>1343</v>
      </c>
      <c r="F57" s="302"/>
      <c r="G57" s="2551"/>
      <c r="H57" s="2555"/>
      <c r="I57" s="1807"/>
      <c r="J57" s="3638">
        <f>IF(AND(J55="",J56=""),4,IF(项目基本情况!K6="上海银行",结果表!J56+1,结果表!J55+1))</f>
        <v>5</v>
      </c>
      <c r="K57" s="3638" t="s">
        <v>1367</v>
      </c>
      <c r="L57" s="2526" t="s">
        <v>1368</v>
      </c>
      <c r="M57" s="2527"/>
      <c r="N57" s="2528">
        <f ca="1">SUMIF(M52:M56,"&lt;9e307")</f>
        <v>45615</v>
      </c>
      <c r="O57" s="2529"/>
      <c r="P57" s="2686">
        <f ca="1">N57/M49</f>
        <v>0.57693767074774871</v>
      </c>
    </row>
    <row r="58" spans="1:35" ht="24.75">
      <c r="A58" s="2331" t="s">
        <v>1352</v>
      </c>
      <c r="B58" s="3599" t="s">
        <v>1369</v>
      </c>
      <c r="C58" s="3573"/>
      <c r="D58" s="2320">
        <f ca="1">IF(H58="转让取得",C81,C97)</f>
        <v>44822</v>
      </c>
      <c r="E58" s="2330" t="s">
        <v>1364</v>
      </c>
      <c r="F58" s="302" t="s">
        <v>28</v>
      </c>
      <c r="G58" s="2551"/>
      <c r="H58" s="2554"/>
      <c r="I58" s="1807"/>
      <c r="J58" s="3638"/>
      <c r="K58" s="3638"/>
      <c r="L58" s="2526" t="s">
        <v>1370</v>
      </c>
      <c r="M58" s="2530"/>
      <c r="N58" s="2531" t="str">
        <f ca="1">NUMBERSTRING(INT(N57*10000),2)&amp;"元整"</f>
        <v>肆亿伍仟陆佰壹拾伍万元整</v>
      </c>
      <c r="O58" s="2532"/>
    </row>
    <row r="59" spans="1:35" ht="24.75" thickBot="1">
      <c r="A59" s="3641" t="s">
        <v>1371</v>
      </c>
      <c r="B59" s="3642"/>
      <c r="C59" s="3642"/>
      <c r="D59" s="2556">
        <f ca="1">IF(H59="非个人房产","——",IF(H59="个人住宅（满五唯一有凭证）",0,IF(H59="个人其他（无凭证）",ROUND(D45*F59,0),ROUND(C67*F59,0))))</f>
        <v>753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39">
        <f>J57+1</f>
        <v>6</v>
      </c>
      <c r="K59" s="3638" t="s">
        <v>1372</v>
      </c>
      <c r="L59" s="2519" t="s">
        <v>1368</v>
      </c>
      <c r="M59" s="2533"/>
      <c r="N59" s="2534">
        <f ca="1">M49-N57</f>
        <v>33449</v>
      </c>
      <c r="O59" s="2535"/>
    </row>
    <row r="60" spans="1:35" ht="12" customHeight="1">
      <c r="A60" s="1808"/>
      <c r="B60" s="1746"/>
      <c r="C60" s="1746"/>
      <c r="D60" s="1746"/>
      <c r="E60" s="1577"/>
      <c r="F60" s="1807"/>
      <c r="G60" s="1807"/>
      <c r="H60" s="1809"/>
      <c r="I60" s="129"/>
      <c r="J60" s="3640"/>
      <c r="K60" s="3638"/>
      <c r="L60" s="2526" t="s">
        <v>1370</v>
      </c>
      <c r="M60" s="2530"/>
      <c r="N60" s="2531" t="str">
        <f ca="1">NUMBERSTRING(INT(N59*10000),2)&amp;"元整"</f>
        <v>叁亿叁仟肆佰肆拾玖万元整</v>
      </c>
      <c r="O60" s="2532"/>
    </row>
    <row r="61" spans="1:35" ht="13.5" thickBot="1">
      <c r="A61" s="3586" t="s">
        <v>1373</v>
      </c>
      <c r="B61" s="3586"/>
      <c r="C61" s="3586"/>
      <c r="D61" s="3586"/>
      <c r="E61" s="3586"/>
      <c r="F61" s="1807"/>
      <c r="G61" s="1807"/>
      <c r="H61" s="1809"/>
      <c r="I61" s="129"/>
      <c r="J61" s="2519">
        <f>J59+1</f>
        <v>7</v>
      </c>
      <c r="K61" s="3638" t="s">
        <v>1374</v>
      </c>
      <c r="L61" s="3638"/>
      <c r="M61" s="2536"/>
      <c r="N61" s="2537">
        <f ca="1">ROUND(N59*10000/'数据-汇总表'!E3,0)</f>
        <v>7441</v>
      </c>
      <c r="O61" s="2538"/>
    </row>
    <row r="62" spans="1:35" ht="12.75">
      <c r="A62" s="3604" t="s">
        <v>1375</v>
      </c>
      <c r="B62" s="3605"/>
      <c r="C62" s="2017"/>
      <c r="D62" s="2017" t="s">
        <v>1376</v>
      </c>
      <c r="E62" s="166" t="s">
        <v>1377</v>
      </c>
      <c r="F62" s="1807"/>
      <c r="G62" s="1807"/>
      <c r="H62" s="1809"/>
      <c r="I62" s="129"/>
    </row>
    <row r="63" spans="1:35" ht="12.75">
      <c r="A63" s="173" t="s">
        <v>330</v>
      </c>
      <c r="B63" s="167" t="s">
        <v>1378</v>
      </c>
      <c r="C63" s="2560">
        <f ca="1">ROUND((C64+C65)/(1+'数据-取费表'!C42),0)</f>
        <v>75299</v>
      </c>
      <c r="D63" s="167"/>
      <c r="E63" s="168"/>
      <c r="F63" s="1807"/>
      <c r="G63" s="1807"/>
      <c r="H63" s="1809"/>
      <c r="I63" s="129"/>
      <c r="J63" s="3663" t="s">
        <v>1379</v>
      </c>
      <c r="K63" s="1331" t="s">
        <v>1380</v>
      </c>
      <c r="L63" s="1331">
        <f ca="1">IF(M49&gt;10000,M49*0.5%,IF(AND(M49&gt;1000,M49&lt;=10000),M49*1%,IF(AND(M49&gt;100,M49&lt;=1000),M49*3%,IF(AND(M49&gt;10,M49&lt;=100),M49*5%,M49*8%))))</f>
        <v>395.32</v>
      </c>
      <c r="M63" s="302">
        <f ca="1">ROUND(L63,1)</f>
        <v>395.3</v>
      </c>
      <c r="N63" s="2539"/>
      <c r="Z63" s="1751"/>
      <c r="AI63" s="1752"/>
    </row>
    <row r="64" spans="1:35" ht="14.25" customHeight="1">
      <c r="A64" s="169" t="s">
        <v>325</v>
      </c>
      <c r="B64" s="170" t="s">
        <v>1381</v>
      </c>
      <c r="C64" s="2561">
        <f ca="1">D45</f>
        <v>79064</v>
      </c>
      <c r="D64" s="170" t="s">
        <v>26</v>
      </c>
      <c r="E64" s="172"/>
      <c r="F64" s="1807"/>
      <c r="G64" s="1807"/>
      <c r="H64" s="1809"/>
      <c r="I64" s="129"/>
      <c r="J64" s="3663"/>
      <c r="K64" s="1331" t="s">
        <v>1382</v>
      </c>
      <c r="L64" s="1331">
        <f ca="1">IF(M49&gt;2000,M49*0.5%,IF(AND(M49&gt;1000,M49&lt;=2000),M49*0.6%,IF(AND(M49&gt;500,M49&lt;=1000),M49*0.7%,IF(AND(M49&gt;200,M49&lt;=500),M49*0.8%,IF(AND(M49&gt;100,M49&lt;=200),M49*0.9%,IF(AND(M49&gt;50,M49&lt;=100),M49*1%,IF(AND(M49&gt;20,M49&lt;=50),M49*1.5%,IF(AND(M49&gt;10,M49&lt;=20),M49*2%,IF(AND(M49&gt;1,M49&lt;=10),M49*2.5%)))))))))</f>
        <v>395.32</v>
      </c>
      <c r="M64" s="302">
        <f t="shared" ref="M64:M65" ca="1" si="1">ROUND(L64,1)</f>
        <v>395.3</v>
      </c>
      <c r="N64" s="2540" t="s">
        <v>1383</v>
      </c>
      <c r="Z64" s="1751"/>
      <c r="AI64" s="1752"/>
    </row>
    <row r="65" spans="1:35" ht="14.25" customHeight="1">
      <c r="A65" s="169" t="s">
        <v>326</v>
      </c>
      <c r="B65" s="170" t="s">
        <v>1384</v>
      </c>
      <c r="C65" s="2562"/>
      <c r="D65" s="170"/>
      <c r="E65" s="172"/>
      <c r="F65" s="1807"/>
      <c r="G65" s="1807"/>
      <c r="H65" s="1809"/>
      <c r="I65" s="129"/>
      <c r="J65" s="3663"/>
      <c r="K65" s="1331" t="s">
        <v>1385</v>
      </c>
      <c r="L65" s="1331">
        <f ca="1">IF(M49&gt;1000,M49*0.1%,IF(AND(M49&gt;500,M49&lt;=1000),M49*0.5%,IF(AND(M49&gt;50,M49&lt;=500),M49*1%,IF(AND(M49&gt;1,M49&lt;=50),M49*1.5%))))</f>
        <v>79.064000000000007</v>
      </c>
      <c r="M65" s="302">
        <f t="shared" ca="1" si="1"/>
        <v>79.099999999999994</v>
      </c>
      <c r="N65" s="2540" t="s">
        <v>1383</v>
      </c>
      <c r="Z65" s="1751"/>
      <c r="AI65" s="1752"/>
    </row>
    <row r="66" spans="1:35" ht="14.25" customHeight="1">
      <c r="A66" s="173" t="s">
        <v>327</v>
      </c>
      <c r="B66" s="174" t="s">
        <v>1386</v>
      </c>
      <c r="C66" s="2563"/>
      <c r="D66" s="174" t="s">
        <v>26</v>
      </c>
      <c r="E66" s="1337" t="s">
        <v>671</v>
      </c>
      <c r="F66" s="1807"/>
      <c r="G66" s="1807"/>
      <c r="H66" s="1809"/>
      <c r="I66" s="129"/>
      <c r="J66" s="3663"/>
      <c r="K66" s="1331" t="s">
        <v>1387</v>
      </c>
      <c r="L66" s="1331">
        <f ca="1">M49*0.5%</f>
        <v>395.32</v>
      </c>
      <c r="M66" s="302">
        <f ca="1">IF(L66&gt;0.5,0.5,ROUND(L66,0))</f>
        <v>0.5</v>
      </c>
      <c r="N66" s="2540" t="s">
        <v>1388</v>
      </c>
      <c r="Z66" s="1751"/>
      <c r="AI66" s="1752"/>
    </row>
    <row r="67" spans="1:35" ht="14.25" customHeight="1">
      <c r="A67" s="173" t="s">
        <v>328</v>
      </c>
      <c r="B67" s="174" t="s">
        <v>1389</v>
      </c>
      <c r="C67" s="2564">
        <f ca="1">C63-C66</f>
        <v>75299</v>
      </c>
      <c r="D67" s="170" t="s">
        <v>26</v>
      </c>
      <c r="E67" s="172"/>
      <c r="F67" s="1807"/>
      <c r="G67" s="1807"/>
      <c r="H67" s="1809"/>
      <c r="I67" s="129"/>
      <c r="J67" s="3663"/>
      <c r="K67" s="1331" t="s">
        <v>1390</v>
      </c>
      <c r="L67" s="1331">
        <f ca="1">IF(M49&gt;=10000,(8.25+(M49-10000)*0.01%),IF(AND(M49&gt;=8000,M49&lt;10000),(7.85+(M49-8000)*0.02%),IF(AND(M49&gt;=5000,M49&lt;8000),(6.65+(M49-5000)*0.04%),IF(AND(M49&gt;=2000,M49&lt;5000),(4.25+(PM49-2000)*0.08%),IF(AND(M49&gt;=1000,M49&lt;2000),(2.75+(M49-1000)*0.15%),IF(AND(M49&gt;=100,M49&lt;1000),(0.5+(M49-100)*0.25%),IF(AND(M49&gt;0,M49&lt;100),M49*0.5%)))))))</f>
        <v>15.156400000000001</v>
      </c>
      <c r="M67" s="302">
        <f ca="1">ROUND(L67*0.9,1)</f>
        <v>13.6</v>
      </c>
      <c r="N67" s="2539"/>
      <c r="Z67" s="1751"/>
      <c r="AI67" s="1752"/>
    </row>
    <row r="68" spans="1:35" ht="14.25" customHeight="1" thickBot="1">
      <c r="A68" s="176" t="s">
        <v>329</v>
      </c>
      <c r="B68" s="177" t="s">
        <v>1391</v>
      </c>
      <c r="C68" s="2565">
        <f ca="1">IF(C67&lt;=0,0,ROUND(C67*D68,0))</f>
        <v>4141</v>
      </c>
      <c r="D68" s="2566">
        <f>'数据-取费表'!B41</f>
        <v>5.5000000000000007E-2</v>
      </c>
      <c r="E68" s="178"/>
      <c r="F68" s="1807"/>
      <c r="G68" s="1807"/>
      <c r="H68" s="1809"/>
      <c r="I68" s="129"/>
      <c r="J68" s="3663"/>
      <c r="K68" s="1331" t="s">
        <v>1392</v>
      </c>
      <c r="L68" s="1331">
        <f ca="1">IF(M49&gt;10000,M49*0.5%,IF(AND(M49&gt;5000,M49&lt;=10000),M49*1%,IF(AND(M49&gt;1000,M49&lt;=5000),M49*2%,IF(AND(M49&gt;200,M49&lt;=1000),M49*3%,M49*5%))))</f>
        <v>395.32</v>
      </c>
      <c r="M68" s="302">
        <f ca="1">ROUND(L68,1)</f>
        <v>395.3</v>
      </c>
      <c r="N68" s="2539"/>
      <c r="Z68" s="1751"/>
      <c r="AI68" s="1752"/>
    </row>
    <row r="69" spans="1:35" s="1771" customFormat="1" ht="16.5" customHeight="1">
      <c r="A69" s="1810"/>
      <c r="B69" s="1811"/>
      <c r="C69" s="1812"/>
      <c r="D69" s="1813"/>
      <c r="E69" s="1814"/>
      <c r="F69" s="1577"/>
      <c r="G69" s="1577"/>
      <c r="H69" s="1576"/>
      <c r="I69" s="1746"/>
      <c r="J69" s="3663"/>
      <c r="K69" s="1331" t="s">
        <v>1393</v>
      </c>
      <c r="L69" s="1331"/>
      <c r="M69" s="302">
        <f ca="1">ROUND(SUM(M63:M68),0)</f>
        <v>1279</v>
      </c>
      <c r="N69" s="2541">
        <f ca="1">M69/M49</f>
        <v>1.6176768187797227E-2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75299</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376</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599" t="s">
        <v>1402</v>
      </c>
      <c r="F76" s="3573"/>
      <c r="G76" s="3573"/>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376</v>
      </c>
      <c r="D78" s="2573">
        <f>'数据-取费表'!B43</f>
        <v>5.000000000000001E-3</v>
      </c>
      <c r="E78" s="3583" t="s">
        <v>1406</v>
      </c>
      <c r="F78" s="3584"/>
      <c r="G78" s="3584"/>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74923</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199.26329787234042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44822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75299</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376</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65" t="s">
        <v>2129</v>
      </c>
      <c r="H90" s="3666"/>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583" t="s">
        <v>1419</v>
      </c>
      <c r="F91" s="3584"/>
      <c r="G91" s="35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583" t="s">
        <v>1422</v>
      </c>
      <c r="F92" s="3584"/>
      <c r="G92" s="3584"/>
      <c r="H92" s="3593"/>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376</v>
      </c>
      <c r="D93" s="2573">
        <f>'数据-取费表'!B43</f>
        <v>5.000000000000001E-3</v>
      </c>
      <c r="E93" s="3583" t="s">
        <v>1406</v>
      </c>
      <c r="F93" s="3584"/>
      <c r="G93" s="3584"/>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594" t="s">
        <v>1426</v>
      </c>
      <c r="F94" s="3595"/>
      <c r="G94" s="3595"/>
      <c r="H94" s="35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74923</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199.26329787234042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44822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1" t="str">
        <f>C4</f>
        <v>成本法</v>
      </c>
      <c r="D101" s="2582" t="str">
        <f>D4</f>
        <v>假设开发法</v>
      </c>
      <c r="E101" s="3660" t="s">
        <v>1431</v>
      </c>
      <c r="F101" s="3617"/>
      <c r="G101" s="1826" t="s">
        <v>1432</v>
      </c>
      <c r="H101" s="2591">
        <f ca="1">H118</f>
        <v>79064</v>
      </c>
      <c r="I101" s="129"/>
    </row>
    <row r="102" spans="1:35" ht="18.75" customHeight="1">
      <c r="A102" s="3619" t="s">
        <v>1433</v>
      </c>
      <c r="B102" s="2580" t="s">
        <v>1432</v>
      </c>
      <c r="C102" s="2581">
        <f ca="1">IF(D32="楼面单价",ROUND(C19,0),C19)</f>
        <v>79316</v>
      </c>
      <c r="D102" s="2582">
        <f ca="1">IF(D32="楼面单价",ROUND(D19,0),D19)</f>
        <v>78812</v>
      </c>
      <c r="E102" s="3660"/>
      <c r="F102" s="3617"/>
      <c r="G102" s="1826" t="s">
        <v>1434</v>
      </c>
      <c r="H102" s="2551">
        <f ca="1">I118</f>
        <v>17588</v>
      </c>
      <c r="I102" s="129"/>
    </row>
    <row r="103" spans="1:35" ht="42.75" customHeight="1">
      <c r="A103" s="3619"/>
      <c r="B103" s="2580" t="s">
        <v>1434</v>
      </c>
      <c r="C103" s="2583">
        <f ca="1">C20</f>
        <v>17644</v>
      </c>
      <c r="D103" s="2584">
        <f ca="1">D20</f>
        <v>17532</v>
      </c>
      <c r="E103" s="3654" t="s">
        <v>1435</v>
      </c>
      <c r="F103" s="3655"/>
      <c r="G103" s="1827" t="s">
        <v>1436</v>
      </c>
      <c r="H103" s="2591">
        <f>IF(D36="正常操作",H104+H105+H106,H105+H106)</f>
        <v>0</v>
      </c>
      <c r="I103" s="129"/>
    </row>
    <row r="104" spans="1:35" ht="18.75" customHeight="1">
      <c r="A104" s="3619" t="s">
        <v>1437</v>
      </c>
      <c r="B104" s="2585" t="s">
        <v>1432</v>
      </c>
      <c r="C104" s="2586">
        <f ca="1">H118</f>
        <v>79064</v>
      </c>
      <c r="D104" s="2587"/>
      <c r="E104" s="1673" t="s">
        <v>1438</v>
      </c>
      <c r="F104" s="1665"/>
      <c r="G104" s="1827" t="s">
        <v>1436</v>
      </c>
      <c r="H104" s="2592">
        <f>IF(D36="同一抵押权人同一抵押物续贷",C36&amp;"（续贷，未扣减，详见特别提示）",C36)</f>
        <v>0</v>
      </c>
      <c r="I104" s="129"/>
    </row>
    <row r="105" spans="1:35" ht="18.75" customHeight="1" thickBot="1">
      <c r="A105" s="3620"/>
      <c r="B105" s="2588" t="s">
        <v>1434</v>
      </c>
      <c r="C105" s="2589">
        <f ca="1">I118</f>
        <v>17588</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16" t="str">
        <f>IF(项目基本情况!E8="已注销","——","3.房地产抵押价值")</f>
        <v>3.房地产抵押价值</v>
      </c>
      <c r="F107" s="3617"/>
      <c r="G107" s="1826" t="s">
        <v>1432</v>
      </c>
      <c r="H107" s="2591">
        <f ca="1">IF(E107="——","——",H101-H103)</f>
        <v>79064</v>
      </c>
      <c r="I107" s="129"/>
    </row>
    <row r="108" spans="1:35" ht="18.75" customHeight="1">
      <c r="A108" s="129"/>
      <c r="B108" s="129"/>
      <c r="C108" s="129"/>
      <c r="D108" s="129"/>
      <c r="E108" s="3616"/>
      <c r="F108" s="3617"/>
      <c r="G108" s="1826" t="s">
        <v>1434</v>
      </c>
      <c r="H108" s="2551">
        <f ca="1">IF(H107=H101,H102,ROUND(H107*10000/'数据-汇总表'!E3,0))</f>
        <v>17588</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6" t="s">
        <v>1432</v>
      </c>
      <c r="H109" s="2594" t="str">
        <f>IF(E109="——","——",H101-H105-H106)</f>
        <v>——</v>
      </c>
      <c r="I109" s="129"/>
    </row>
    <row r="110" spans="1:35" ht="18.75" customHeight="1">
      <c r="A110" s="129"/>
      <c r="B110" s="129"/>
      <c r="C110" s="129"/>
      <c r="D110" s="129"/>
      <c r="E110" s="3616"/>
      <c r="F110" s="3617"/>
      <c r="G110" s="1826" t="s">
        <v>1434</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6" t="s">
        <v>1432</v>
      </c>
      <c r="H111" s="2591" t="str">
        <f>IF(E111="——","——",N59)</f>
        <v>——</v>
      </c>
      <c r="I111" s="129"/>
    </row>
    <row r="112" spans="1:35" ht="18.75" customHeight="1" thickBot="1">
      <c r="A112" s="129"/>
      <c r="B112" s="129"/>
      <c r="C112" s="129"/>
      <c r="D112" s="129"/>
      <c r="E112" s="3649"/>
      <c r="F112" s="3650"/>
      <c r="G112" s="1829" t="s">
        <v>1434</v>
      </c>
      <c r="H112" s="2595"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c r="K116" s="725">
        <f ca="1">H118/'数据-汇总表'!F19</f>
        <v>2.2843842240420864</v>
      </c>
    </row>
    <row r="117" spans="1:27" ht="18.75" customHeight="1">
      <c r="A117" s="3587"/>
      <c r="B117" s="3623"/>
      <c r="C117" s="3623"/>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44954.17</v>
      </c>
      <c r="C118" s="2325">
        <f>M19</f>
        <v>18302.099999999999</v>
      </c>
      <c r="D118" s="2325">
        <f ca="1">ROUND(IF(D32="总价",C34,E118*B118/10000),0)</f>
        <v>78115</v>
      </c>
      <c r="E118" s="2325">
        <f ca="1">ROUND(IF(C33="自定义",IF(D32="楼面单价",C34,D118*10000/B118),I118-G118),0)</f>
        <v>17377</v>
      </c>
      <c r="F118" s="2325">
        <f ca="1">ROUND(IF(D32="总价",C35,G118*B118/10000),0)</f>
        <v>949</v>
      </c>
      <c r="G118" s="2325">
        <f ca="1">ROUND(IF(D32="楼面单价",C35,F118*10000/B118),0)</f>
        <v>211</v>
      </c>
      <c r="H118" s="2325">
        <f ca="1">ROUND(IF(D32="总价",C32,I118*B118/10000),0)</f>
        <v>79064</v>
      </c>
      <c r="I118" s="2325">
        <f ca="1">ROUND(IF(D32="楼面单价",C32,H118*10000/B118),0)</f>
        <v>17588</v>
      </c>
    </row>
    <row r="119" spans="1:27" ht="18.75" customHeight="1">
      <c r="A119" s="3587" t="s">
        <v>1452</v>
      </c>
      <c r="B119" s="3587"/>
      <c r="C119" s="3587"/>
      <c r="D119" s="3627" t="str">
        <f ca="1">NUMBERSTRING(INT(D118*10000),2)&amp;"元整"</f>
        <v>柒亿捌仟壹佰壹拾伍万元整</v>
      </c>
      <c r="E119" s="3629"/>
      <c r="F119" s="3627" t="str">
        <f ca="1">NUMBERSTRING(INT(F118*10000),2)&amp;"元整"</f>
        <v>玖佰肆拾玖万元整</v>
      </c>
      <c r="G119" s="3629"/>
      <c r="H119" s="3627" t="str">
        <f ca="1">NUMBERSTRING(INT(H118*10000),2)&amp;"元整"</f>
        <v>柒亿玖仟零陆拾肆万元整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79064</v>
      </c>
      <c r="E122" s="3652"/>
      <c r="F122" s="3652"/>
      <c r="G122" s="3652"/>
      <c r="H122" s="3652"/>
      <c r="I122" s="3653"/>
      <c r="AA122" s="725"/>
    </row>
    <row r="123" spans="1:27" ht="18.75" customHeight="1">
      <c r="A123" s="3587" t="s">
        <v>1452</v>
      </c>
      <c r="B123" s="3587"/>
      <c r="C123" s="3587"/>
      <c r="D123" s="3627" t="str">
        <f ca="1">NUMBERSTRING(INT(D122*10000),2)&amp;"元整"</f>
        <v>柒亿玖仟零陆拾肆万元整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4" sqref="P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79316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17644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70662</v>
      </c>
      <c r="D5" s="211" t="s">
        <v>1469</v>
      </c>
      <c r="E5" s="212" t="s">
        <v>1470</v>
      </c>
      <c r="F5" s="212" t="s">
        <v>1471</v>
      </c>
      <c r="G5" s="213"/>
    </row>
    <row r="6" spans="1:9" s="214" customFormat="1" ht="13.5" customHeight="1">
      <c r="A6" s="778" t="s">
        <v>1472</v>
      </c>
      <c r="B6" s="215" t="s">
        <v>1473</v>
      </c>
      <c r="C6" s="216">
        <f>'土地比较法-住宅、综合'!B2</f>
        <v>67876</v>
      </c>
      <c r="D6" s="217"/>
      <c r="E6" s="218"/>
      <c r="F6" s="218"/>
      <c r="G6" s="219"/>
    </row>
    <row r="7" spans="1:9" s="214" customFormat="1" ht="13.5" customHeight="1">
      <c r="A7" s="778" t="s">
        <v>1474</v>
      </c>
      <c r="B7" s="215" t="s">
        <v>1475</v>
      </c>
      <c r="C7" s="220">
        <f>ROUND(C6*F7,0)</f>
        <v>2070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716</v>
      </c>
      <c r="D8" s="222"/>
      <c r="E8" s="220"/>
      <c r="F8" s="221"/>
      <c r="G8" s="1855" t="s">
        <v>3912</v>
      </c>
    </row>
    <row r="9" spans="1:9" s="214" customFormat="1" ht="13.5" customHeight="1">
      <c r="A9" s="779" t="s">
        <v>355</v>
      </c>
      <c r="B9" s="224" t="s">
        <v>1478</v>
      </c>
      <c r="C9" s="225">
        <f ca="1">ROUND(D9*E9/10000,0)</f>
        <v>519</v>
      </c>
      <c r="D9" s="845">
        <f ca="1">IF(B1="",'数据-汇总表'!E5,IF(INDIRECT("'数据-取费表'!c"&amp;$G$1)="住宅",INDIRECT("'数据-取费表'!k"&amp;$G$1),0))</f>
        <v>34610.639999999999</v>
      </c>
      <c r="E9" s="225">
        <f>'数据-取费表'!B27</f>
        <v>150</v>
      </c>
      <c r="F9" s="221"/>
      <c r="G9" s="1856" t="s">
        <v>3913</v>
      </c>
      <c r="H9" s="1137"/>
      <c r="I9" s="1857" t="s">
        <v>1479</v>
      </c>
    </row>
    <row r="10" spans="1:9" s="214" customFormat="1" ht="13.5" customHeight="1">
      <c r="A10" s="779" t="s">
        <v>356</v>
      </c>
      <c r="B10" s="224" t="s">
        <v>1480</v>
      </c>
      <c r="C10" s="225">
        <f ca="1">ROUND(D10*E10/10000,0)</f>
        <v>197</v>
      </c>
      <c r="D10" s="845">
        <f ca="1">IF(B1="",'数据-汇总表'!E6,IF(INDIRECT("'数据-取费表'!c"&amp;$G$1)="住宅",INDIRECT("'数据-取费表'!s"&amp;$G$1),INDIRECT("'数据-取费表'!k"&amp;$G$1)+INDIRECT("'数据-取费表'!s"&amp;$G$1)))</f>
        <v>10343.529999999999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44954.17</v>
      </c>
      <c r="E19" s="211">
        <f>'数据-取费表'!B31</f>
        <v>200</v>
      </c>
      <c r="F19" s="231"/>
      <c r="G19" s="1855" t="s">
        <v>3914</v>
      </c>
    </row>
    <row r="20" spans="1:7" s="214" customFormat="1" ht="13.5" customHeight="1">
      <c r="A20" s="255" t="s">
        <v>1493</v>
      </c>
      <c r="B20" s="210" t="s">
        <v>1494</v>
      </c>
      <c r="C20" s="232">
        <f ca="1">ROUND((C5+C19)*F20,0)</f>
        <v>1413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199</v>
      </c>
      <c r="D22" s="235">
        <f ca="1">C26</f>
        <v>0</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404</v>
      </c>
      <c r="D27" s="235">
        <f ca="1">C29</f>
        <v>1E-4</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404</v>
      </c>
      <c r="D28" s="235"/>
      <c r="E28" s="236"/>
      <c r="F28" s="246"/>
      <c r="G28" s="247"/>
    </row>
    <row r="29" spans="1:7" s="214" customFormat="1" ht="13.5" customHeight="1">
      <c r="A29" s="780" t="s">
        <v>347</v>
      </c>
      <c r="B29" s="248" t="s">
        <v>1517</v>
      </c>
      <c r="C29" s="238">
        <f ca="1">ROUND(C21*F27*'数据-取费表'!B21/'数据-取费表'!B20,4)</f>
        <v>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78359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693</v>
      </c>
      <c r="D34" s="217"/>
      <c r="E34" s="220"/>
      <c r="F34" s="257">
        <f ca="1">IF('数据-取费表'!B24=0,1,IF(B1="",'数据-取费表'!N16,INDIRECT("'数据-取费表'!n"&amp;$G$1)))</f>
        <v>0.04</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36</v>
      </c>
      <c r="D37" s="217">
        <f ca="1">D19</f>
        <v>44954.17</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0</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0</v>
      </c>
      <c r="D44" s="238"/>
      <c r="E44" s="238"/>
      <c r="F44" s="239"/>
      <c r="G44" s="3669"/>
    </row>
    <row r="45" spans="1:7" s="214" customFormat="1" ht="13.5" customHeight="1">
      <c r="A45" s="255" t="s">
        <v>1547</v>
      </c>
      <c r="B45" s="244" t="s">
        <v>1513</v>
      </c>
      <c r="C45" s="245">
        <f ca="1">C46</f>
        <v>109</v>
      </c>
      <c r="D45" s="235">
        <f ca="1">C47</f>
        <v>2.8E-3</v>
      </c>
      <c r="E45" s="236" t="s">
        <v>1539</v>
      </c>
      <c r="F45" s="246">
        <f ca="1">F27</f>
        <v>0.14000000000000001</v>
      </c>
      <c r="G45" s="247" t="s">
        <v>1548</v>
      </c>
    </row>
    <row r="46" spans="1:7" s="214" customFormat="1" ht="13.5" customHeight="1">
      <c r="A46" s="780" t="s">
        <v>346</v>
      </c>
      <c r="B46" s="248" t="s">
        <v>1549</v>
      </c>
      <c r="C46" s="249">
        <f ca="1">ROUND((C33+C39)*F27,0)</f>
        <v>109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957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957</v>
      </c>
      <c r="D51" s="232"/>
      <c r="E51" s="232"/>
      <c r="F51" s="264"/>
      <c r="G51" s="234" t="s">
        <v>1560</v>
      </c>
    </row>
    <row r="52" spans="1:7" s="208" customFormat="1" ht="16.5" thickBot="1">
      <c r="A52" s="265" t="s">
        <v>1561</v>
      </c>
      <c r="B52" s="266"/>
      <c r="C52" s="267">
        <f ca="1">C31+C51</f>
        <v>79316</v>
      </c>
      <c r="D52" s="266"/>
      <c r="E52" s="266"/>
      <c r="F52" s="266"/>
      <c r="G52" s="268"/>
    </row>
    <row r="55" spans="1:7" ht="15">
      <c r="B55" s="270" t="s">
        <v>1562</v>
      </c>
      <c r="C55" s="271"/>
    </row>
    <row r="56" spans="1:7">
      <c r="B56" s="273" t="s">
        <v>802</v>
      </c>
      <c r="C56" s="275">
        <f ca="1">1-C57</f>
        <v>0.98799999999999999</v>
      </c>
    </row>
    <row r="57" spans="1:7">
      <c r="B57" s="273" t="s">
        <v>803</v>
      </c>
      <c r="C57" s="274">
        <f ca="1">ROUND(C51/C52,3)</f>
        <v>1.2E-2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27664.9653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6154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7156867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7156867</v>
      </c>
      <c r="D8" s="222"/>
      <c r="E8" s="220"/>
      <c r="F8" s="221"/>
      <c r="G8" s="1855"/>
    </row>
    <row r="9" spans="1:8" s="214" customFormat="1" ht="13.5" customHeight="1">
      <c r="A9" s="779" t="s">
        <v>355</v>
      </c>
      <c r="B9" s="224" t="s">
        <v>1478</v>
      </c>
      <c r="C9" s="225">
        <f ca="1">ROUND(D9*E9,0)</f>
        <v>5191596</v>
      </c>
      <c r="D9" s="845">
        <f ca="1">IF(B1="",'数据-汇总表'!E5,IF(INDIRECT("'数据-取费表'!c"&amp;$G$1)="住宅",INDIRECT("'数据-取费表'!k"&amp;$G$1),0))</f>
        <v>34610.639999999999</v>
      </c>
      <c r="E9" s="225">
        <f>'数据-取费表'!B27</f>
        <v>150</v>
      </c>
      <c r="F9" s="221"/>
      <c r="G9" s="226"/>
    </row>
    <row r="10" spans="1:8" s="214" customFormat="1" ht="13.5" customHeight="1">
      <c r="A10" s="779" t="s">
        <v>356</v>
      </c>
      <c r="B10" s="224" t="s">
        <v>1480</v>
      </c>
      <c r="C10" s="225">
        <f ca="1">ROUND(D10*E10,0)</f>
        <v>1965271</v>
      </c>
      <c r="D10" s="845">
        <f ca="1">IF(B1="",'数据-汇总表'!E6,IF(INDIRECT("'数据-取费表'!c"&amp;$G$1)="住宅",INDIRECT("'数据-取费表'!s"&amp;$G$1),INDIRECT("'数据-取费表'!k"&amp;$G$1)+INDIRECT("'数据-取费表'!s"&amp;$G$1)))</f>
        <v>10343.529999999999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8990834</v>
      </c>
      <c r="D19" s="849">
        <f ca="1">D9+D10</f>
        <v>44954.17</v>
      </c>
      <c r="E19" s="211">
        <f>'数据-取费表'!B31</f>
        <v>200</v>
      </c>
      <c r="F19" s="231"/>
      <c r="G19" s="1855"/>
    </row>
    <row r="20" spans="1:7" s="214" customFormat="1" ht="13.5" customHeight="1">
      <c r="A20" s="255" t="s">
        <v>1574</v>
      </c>
      <c r="B20" s="210" t="s">
        <v>1575</v>
      </c>
      <c r="C20" s="232">
        <f ca="1">ROUND((C5+C19)*F20,0)</f>
        <v>322954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1178302</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517157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649680</v>
      </c>
      <c r="D24" s="238"/>
      <c r="E24" s="238"/>
      <c r="F24" s="239"/>
      <c r="G24" s="240" t="s">
        <v>1586</v>
      </c>
    </row>
    <row r="25" spans="1:7" s="214" customFormat="1" ht="24">
      <c r="A25" s="780" t="s">
        <v>1476</v>
      </c>
      <c r="B25" s="215" t="s">
        <v>1587</v>
      </c>
      <c r="C25" s="1128">
        <f ca="1">ROUND(IF('数据-取费表'!B22&lt;=1,C20*F22*'数据-取费表'!B22/2,C20*(POWER((1+F22),'数据-取费表'!B22/2)-1)),0)</f>
        <v>11465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2305892</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2305892</v>
      </c>
      <c r="D28" s="235"/>
      <c r="E28" s="236"/>
      <c r="F28" s="246"/>
      <c r="G28" s="247"/>
    </row>
    <row r="29" spans="1:7" s="214" customFormat="1" ht="13.5" customHeight="1">
      <c r="A29" s="780" t="s">
        <v>347</v>
      </c>
      <c r="B29" s="248" t="s">
        <v>1517</v>
      </c>
      <c r="C29" s="238">
        <f ca="1">ROUND(C21*F27,4)</f>
        <v>2.8E-3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21593820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196576422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172893630</v>
      </c>
      <c r="D34" s="217"/>
      <c r="E34" s="220"/>
      <c r="F34" s="257"/>
      <c r="G34" s="219"/>
    </row>
    <row r="35" spans="1:7" ht="13.5" customHeight="1">
      <c r="A35" s="780" t="s">
        <v>351</v>
      </c>
      <c r="B35" s="215" t="s">
        <v>1527</v>
      </c>
      <c r="C35" s="220">
        <f ca="1">ROUND(C34*F35,0)</f>
        <v>5186809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6911745</v>
      </c>
      <c r="D36" s="220"/>
      <c r="E36" s="220"/>
      <c r="F36" s="259">
        <f>'数据-取费表'!B34</f>
        <v>0.05</v>
      </c>
      <c r="G36" s="260" t="s">
        <v>1530</v>
      </c>
    </row>
    <row r="37" spans="1:7" s="258" customFormat="1" ht="13.5" customHeight="1">
      <c r="A37" s="780" t="s">
        <v>353</v>
      </c>
      <c r="B37" s="215" t="s">
        <v>1531</v>
      </c>
      <c r="C37" s="249">
        <f ca="1">ROUND(E37*D37,0)</f>
        <v>8990834</v>
      </c>
      <c r="D37" s="217">
        <f ca="1">D19</f>
        <v>44954.17</v>
      </c>
      <c r="E37" s="249">
        <f>'数据-取费表'!B35</f>
        <v>200</v>
      </c>
      <c r="F37" s="259"/>
      <c r="G37" s="261"/>
    </row>
    <row r="38" spans="1:7" ht="13.5" customHeight="1">
      <c r="A38" s="780" t="s">
        <v>354</v>
      </c>
      <c r="B38" s="215" t="s">
        <v>1533</v>
      </c>
      <c r="C38" s="220">
        <f ca="1">ROUND(C34*F38,0)</f>
        <v>2593404</v>
      </c>
      <c r="D38" s="220"/>
      <c r="E38" s="220"/>
      <c r="F38" s="259">
        <f>'数据-取费表'!B36</f>
        <v>1.4999999999999999E-2</v>
      </c>
      <c r="G38" s="219" t="s">
        <v>1528</v>
      </c>
    </row>
    <row r="39" spans="1:7" s="214" customFormat="1" ht="13.5" customHeight="1">
      <c r="A39" s="255" t="s">
        <v>1534</v>
      </c>
      <c r="B39" s="210" t="s">
        <v>1535</v>
      </c>
      <c r="C39" s="232">
        <f ca="1">ROUND(C33*F20,0)</f>
        <v>3931528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7118032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6978463</v>
      </c>
      <c r="D42" s="238"/>
      <c r="E42" s="238"/>
      <c r="F42" s="239"/>
      <c r="G42" s="3667" t="s">
        <v>1591</v>
      </c>
    </row>
    <row r="43" spans="1:7" ht="13.5" customHeight="1">
      <c r="A43" s="780" t="s">
        <v>347</v>
      </c>
      <c r="B43" s="215" t="s">
        <v>1545</v>
      </c>
      <c r="C43" s="238">
        <f ca="1">ROUND(IF('数据-取费表'!B22&lt;=1,C39*F22*'数据-取费表'!B20/2,C39*(POWER((1+F22),'数据-取费表'!B20/2)-1)),0)</f>
        <v>139569</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28071113</v>
      </c>
      <c r="D45" s="235">
        <f ca="1">C47</f>
        <v>2.8E-3</v>
      </c>
      <c r="E45" s="236" t="s">
        <v>1539</v>
      </c>
      <c r="F45" s="246">
        <f ca="1">F27</f>
        <v>0.14000000000000001</v>
      </c>
      <c r="G45" s="247" t="s">
        <v>1548</v>
      </c>
    </row>
    <row r="46" spans="1:7" s="214" customFormat="1" ht="13.5" customHeight="1">
      <c r="A46" s="780" t="s">
        <v>346</v>
      </c>
      <c r="B46" s="248" t="s">
        <v>1549</v>
      </c>
      <c r="C46" s="249">
        <f ca="1">ROUND((C33+C39)*F27,0)</f>
        <v>28071113</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255055833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255055833</v>
      </c>
      <c r="D51" s="232"/>
      <c r="E51" s="232"/>
      <c r="F51" s="264"/>
      <c r="G51" s="234" t="s">
        <v>1560</v>
      </c>
    </row>
    <row r="52" spans="1:7" s="208" customFormat="1" ht="16.5" thickBot="1">
      <c r="A52" s="265" t="s">
        <v>1561</v>
      </c>
      <c r="B52" s="266"/>
      <c r="C52" s="267">
        <f ca="1">C31+C51</f>
        <v>276649653</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60" zoomScaleNormal="60" workbookViewId="0">
      <selection activeCell="M37" sqref="M3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67876</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15099</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4" t="s">
        <v>1770</v>
      </c>
      <c r="D4" s="3686"/>
      <c r="E4" s="3687" t="s">
        <v>1771</v>
      </c>
      <c r="F4" s="3688"/>
      <c r="G4" s="3674" t="s">
        <v>1772</v>
      </c>
      <c r="H4" s="3686"/>
      <c r="I4" s="3674" t="s">
        <v>1773</v>
      </c>
      <c r="J4" s="3686"/>
      <c r="K4" s="559" t="s">
        <v>1774</v>
      </c>
      <c r="L4" s="2711"/>
      <c r="M4" s="2712"/>
      <c r="N4" s="2712"/>
      <c r="O4" s="2712"/>
      <c r="P4" s="3689" t="s">
        <v>1775</v>
      </c>
      <c r="Q4" s="3690"/>
      <c r="R4" s="3695" t="s">
        <v>1771</v>
      </c>
      <c r="S4" s="3696"/>
      <c r="T4" s="3695" t="s">
        <v>1772</v>
      </c>
      <c r="U4" s="3696"/>
      <c r="V4" s="3682" t="s">
        <v>1773</v>
      </c>
      <c r="W4" s="3682"/>
      <c r="X4" s="1354"/>
      <c r="Y4" s="3695" t="s">
        <v>1775</v>
      </c>
      <c r="Z4" s="3696"/>
      <c r="AA4" s="3683" t="s">
        <v>1771</v>
      </c>
      <c r="AB4" s="3684" t="s">
        <v>1772</v>
      </c>
      <c r="AC4" s="3683" t="s">
        <v>1773</v>
      </c>
    </row>
    <row r="5" spans="1:30" ht="15">
      <c r="A5" s="358"/>
      <c r="B5" s="359"/>
      <c r="C5" s="3703" t="s">
        <v>1673</v>
      </c>
      <c r="D5" s="3704"/>
      <c r="E5" s="3710" t="str">
        <f>土地案例!$A$3</f>
        <v>北京市大兴区大兴新城西片区一期A组团土地一级开发项目DX00-0407-0002地块R2二类居住用地</v>
      </c>
      <c r="F5" s="3711"/>
      <c r="G5" s="3703" t="str">
        <f>土地案例!$A$15</f>
        <v>北京市房山区良乡大学城主园区FS00-0120-0023地块R2二类居住用地</v>
      </c>
      <c r="H5" s="3704"/>
      <c r="I5" s="3703" t="str">
        <f>土地案例!$A$17</f>
        <v>北京市门头沟区永定镇南区棚户区改造和环境整治项目MC00-0015-6050地块R2二类居住用地</v>
      </c>
      <c r="J5" s="3704"/>
      <c r="K5" s="559"/>
      <c r="L5" s="2711"/>
      <c r="M5" s="2712"/>
      <c r="N5" s="2712"/>
      <c r="O5" s="2712"/>
      <c r="P5" s="3691"/>
      <c r="Q5" s="3692"/>
      <c r="R5" s="3697"/>
      <c r="S5" s="3698"/>
      <c r="T5" s="3697"/>
      <c r="U5" s="3698"/>
      <c r="V5" s="3682"/>
      <c r="W5" s="3682"/>
      <c r="X5" s="1354"/>
      <c r="Y5" s="3697"/>
      <c r="Z5" s="3698"/>
      <c r="AA5" s="3684"/>
      <c r="AB5" s="3684"/>
      <c r="AC5" s="3684"/>
    </row>
    <row r="6" spans="1:30"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2"/>
      <c r="W6" s="3682"/>
      <c r="X6" s="1354"/>
      <c r="Y6" s="3699"/>
      <c r="Z6" s="3700"/>
      <c r="AA6" s="3685"/>
      <c r="AB6" s="3685"/>
      <c r="AC6" s="3685"/>
    </row>
    <row r="7" spans="1:30" s="108" customFormat="1" ht="15.75" thickBot="1">
      <c r="A7" s="362" t="s">
        <v>1679</v>
      </c>
      <c r="B7" s="363"/>
      <c r="C7" s="364">
        <f>'数据-取费表'!B2</f>
        <v>45132</v>
      </c>
      <c r="D7" s="365">
        <v>100</v>
      </c>
      <c r="E7" s="366" t="str">
        <f>土地案例!$AB$3</f>
        <v>2023-06-20</v>
      </c>
      <c r="F7" s="367">
        <f>SUMIF(69:69,YEAR(E7)&amp;"-"&amp;INT((MONTH(E7)+2)/3),70:70)</f>
        <v>99.5</v>
      </c>
      <c r="G7" s="1970" t="str">
        <f>土地案例!$AB$15</f>
        <v>2023-02-07</v>
      </c>
      <c r="H7" s="365">
        <f>SUMIF(69:69,YEAR(G7)&amp;"-"&amp;INT((MONTH(G7)+2)/3),70:70)</f>
        <v>99</v>
      </c>
      <c r="I7" s="1970" t="str">
        <f>土地案例!$AB$17</f>
        <v>2022-11-28</v>
      </c>
      <c r="J7" s="365">
        <f>SUMIF(69:69,YEAR(I7)&amp;"-"&amp;INT((MONTH(I7)+2)/3),70:70)</f>
        <v>98.5</v>
      </c>
      <c r="K7" s="560"/>
      <c r="L7" s="2713"/>
      <c r="M7" s="2714"/>
      <c r="N7" s="2714"/>
      <c r="O7" s="2714"/>
      <c r="P7" s="3705" t="s">
        <v>1680</v>
      </c>
      <c r="Q7" s="3707"/>
      <c r="R7" s="701" t="s">
        <v>14</v>
      </c>
      <c r="S7" s="702">
        <f t="shared" ref="S7:S15" si="0">F7</f>
        <v>99.5</v>
      </c>
      <c r="T7" s="701" t="s">
        <v>14</v>
      </c>
      <c r="U7" s="702">
        <f t="shared" ref="U7:U15" si="1">H7</f>
        <v>99</v>
      </c>
      <c r="V7" s="701" t="s">
        <v>14</v>
      </c>
      <c r="W7" s="702">
        <f t="shared" ref="W7:W15" si="2">J7</f>
        <v>98.5</v>
      </c>
      <c r="X7" s="703"/>
      <c r="Y7" s="3705" t="s">
        <v>1680</v>
      </c>
      <c r="Z7" s="3706"/>
      <c r="AA7" s="704">
        <f>D7/F7</f>
        <v>1.0050251256281406</v>
      </c>
      <c r="AB7" s="704">
        <f>D7/H7</f>
        <v>1.0101010101010102</v>
      </c>
      <c r="AC7" s="704">
        <f>D7/J7</f>
        <v>1.015228426395939</v>
      </c>
    </row>
    <row r="8" spans="1:30" s="108" customFormat="1" ht="15.75" thickBot="1">
      <c r="A8" s="362" t="s">
        <v>1681</v>
      </c>
      <c r="B8" s="363"/>
      <c r="C8" s="368" t="s">
        <v>1682</v>
      </c>
      <c r="D8" s="365">
        <v>100</v>
      </c>
      <c r="E8" s="368" t="s">
        <v>3903</v>
      </c>
      <c r="F8" s="367">
        <f>SUMIF(72:72,E8,73:73)-SUMIF(72:72,C8,73:73)+100</f>
        <v>100</v>
      </c>
      <c r="G8" s="368" t="s">
        <v>3903</v>
      </c>
      <c r="H8" s="365">
        <f>SUMIF(72:72,G8,73:73)-SUMIF(72:72,C8,73:73)+100</f>
        <v>100</v>
      </c>
      <c r="I8" s="368" t="s">
        <v>3903</v>
      </c>
      <c r="J8" s="365">
        <f>SUMIF(72:72,I8,73:73)-SUMIF(72:72,C8,73:73)+100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77"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5"/>
      <c r="M10" s="2716"/>
      <c r="N10" s="2716"/>
      <c r="O10" s="2769"/>
      <c r="P10" s="3677"/>
      <c r="Q10" s="1342" t="str">
        <f t="shared" si="6"/>
        <v>土地使用年限（年）</v>
      </c>
      <c r="R10" s="701" t="s">
        <v>14</v>
      </c>
      <c r="S10" s="702">
        <f t="shared" si="0"/>
        <v>101</v>
      </c>
      <c r="T10" s="701" t="s">
        <v>14</v>
      </c>
      <c r="U10" s="702">
        <f t="shared" si="1"/>
        <v>101</v>
      </c>
      <c r="V10" s="701" t="s">
        <v>14</v>
      </c>
      <c r="W10" s="702">
        <f t="shared" si="2"/>
        <v>101</v>
      </c>
      <c r="X10" s="703"/>
      <c r="Y10" s="3574"/>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'数据-汇总表'!I6</f>
        <v>1.89</v>
      </c>
      <c r="D11" s="127">
        <v>100</v>
      </c>
      <c r="E11" s="380">
        <f>土地案例!$J$3</f>
        <v>1.6</v>
      </c>
      <c r="F11" s="127">
        <f>LOOKUP(E11,79:79,80:80)-LOOKUP(C11,79:79,80:80)+100</f>
        <v>100</v>
      </c>
      <c r="G11" s="381">
        <f>土地案例!$J$15</f>
        <v>2.5</v>
      </c>
      <c r="H11" s="127">
        <f>LOOKUP(G11,79:79,80:80)-LOOKUP(C11,79:79,80:80)+100</f>
        <v>98</v>
      </c>
      <c r="I11" s="380">
        <f>土地案例!$J$17</f>
        <v>1.4</v>
      </c>
      <c r="J11" s="127">
        <f>LOOKUP(I11,79:79,80:80)-LOOKUP(C11,79:79,80:80)+100</f>
        <v>100</v>
      </c>
      <c r="K11" s="621">
        <v>2</v>
      </c>
      <c r="L11" s="2717"/>
      <c r="M11" s="2712"/>
      <c r="N11" s="2712"/>
      <c r="O11" s="2770"/>
      <c r="P11" s="3677"/>
      <c r="Q11" s="1342" t="str">
        <f t="shared" si="6"/>
        <v>容积率</v>
      </c>
      <c r="R11" s="701" t="s">
        <v>14</v>
      </c>
      <c r="S11" s="702">
        <f t="shared" si="0"/>
        <v>100</v>
      </c>
      <c r="T11" s="701" t="s">
        <v>14</v>
      </c>
      <c r="U11" s="702">
        <f t="shared" si="1"/>
        <v>98</v>
      </c>
      <c r="V11" s="701" t="s">
        <v>14</v>
      </c>
      <c r="W11" s="702">
        <f t="shared" si="2"/>
        <v>100</v>
      </c>
      <c r="X11" s="703"/>
      <c r="Y11" s="3574"/>
      <c r="Z11" s="52" t="str">
        <f t="shared" si="7"/>
        <v>容积率</v>
      </c>
      <c r="AA11" s="704">
        <f t="shared" si="3"/>
        <v>1</v>
      </c>
      <c r="AB11" s="704">
        <f t="shared" si="4"/>
        <v>1.0204081632653061</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77"/>
      <c r="Q12" s="1342"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77"/>
      <c r="Q13" s="1342">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77"/>
      <c r="Q14" s="1342">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105</v>
      </c>
      <c r="G15" s="393"/>
      <c r="H15" s="392">
        <f>SUMIF(87:87,G16,88:88)-SUMIF(87:87,C16,88:88)+100</f>
        <v>110</v>
      </c>
      <c r="I15" s="395"/>
      <c r="J15" s="392">
        <f>SUMIF(87:87,I16,88:88)-SUMIF(87:87,C16,88:88)+100</f>
        <v>110</v>
      </c>
      <c r="K15" s="621">
        <v>5</v>
      </c>
      <c r="L15" s="2718"/>
      <c r="M15" s="2712"/>
      <c r="N15" s="2712"/>
      <c r="O15" s="2770"/>
      <c r="P15" s="3678" t="s">
        <v>1691</v>
      </c>
      <c r="Q15" s="1351" t="str">
        <f t="shared" si="6"/>
        <v>居住社区成熟度</v>
      </c>
      <c r="R15" s="705" t="s">
        <v>14</v>
      </c>
      <c r="S15" s="706">
        <f t="shared" si="0"/>
        <v>105</v>
      </c>
      <c r="T15" s="705" t="s">
        <v>14</v>
      </c>
      <c r="U15" s="706">
        <f t="shared" si="1"/>
        <v>110</v>
      </c>
      <c r="V15" s="705" t="s">
        <v>14</v>
      </c>
      <c r="W15" s="706">
        <f t="shared" si="2"/>
        <v>110</v>
      </c>
      <c r="X15" s="1354"/>
      <c r="Y15" s="3678" t="s">
        <v>1691</v>
      </c>
      <c r="Z15" s="1355" t="str">
        <f t="shared" si="7"/>
        <v>居住社区成熟度</v>
      </c>
      <c r="AA15" s="1352">
        <f t="shared" si="3"/>
        <v>0.95238095238095233</v>
      </c>
      <c r="AB15" s="1352">
        <f t="shared" si="4"/>
        <v>0.90909090909090906</v>
      </c>
      <c r="AC15" s="1352">
        <f t="shared" si="5"/>
        <v>0.90909090909090906</v>
      </c>
    </row>
    <row r="16" spans="1:30" ht="15">
      <c r="A16" s="379"/>
      <c r="B16" s="397"/>
      <c r="C16" s="3456" t="s">
        <v>3957</v>
      </c>
      <c r="D16" s="399"/>
      <c r="E16" s="3457" t="s">
        <v>3916</v>
      </c>
      <c r="F16" s="399"/>
      <c r="G16" s="3457" t="s">
        <v>3915</v>
      </c>
      <c r="H16" s="401"/>
      <c r="I16" s="3458" t="s">
        <v>3915</v>
      </c>
      <c r="J16" s="399"/>
      <c r="K16" s="620"/>
      <c r="L16" s="2718"/>
      <c r="M16" s="2712"/>
      <c r="N16" s="2712"/>
      <c r="O16" s="2770"/>
      <c r="P16" s="3679"/>
      <c r="Q16" s="1351"/>
      <c r="R16" s="705"/>
      <c r="S16" s="706"/>
      <c r="T16" s="705"/>
      <c r="U16" s="706"/>
      <c r="V16" s="705"/>
      <c r="W16" s="706"/>
      <c r="X16" s="1354"/>
      <c r="Y16" s="3679"/>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8"/>
      <c r="M17" s="2712"/>
      <c r="N17" s="2712"/>
      <c r="O17" s="2770"/>
      <c r="P17" s="3679"/>
      <c r="Q17" s="1351" t="str">
        <f>B17</f>
        <v>商业繁华度</v>
      </c>
      <c r="R17" s="705" t="s">
        <v>14</v>
      </c>
      <c r="S17" s="706">
        <f>F17</f>
        <v>100</v>
      </c>
      <c r="T17" s="705" t="s">
        <v>14</v>
      </c>
      <c r="U17" s="706">
        <f>H17</f>
        <v>100</v>
      </c>
      <c r="V17" s="705" t="s">
        <v>14</v>
      </c>
      <c r="W17" s="706">
        <f>J17</f>
        <v>100</v>
      </c>
      <c r="X17" s="1354"/>
      <c r="Y17" s="3679"/>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679"/>
      <c r="Q18" s="1351"/>
      <c r="R18" s="705"/>
      <c r="S18" s="706"/>
      <c r="T18" s="705"/>
      <c r="U18" s="706"/>
      <c r="V18" s="705"/>
      <c r="W18" s="706"/>
      <c r="X18" s="1354"/>
      <c r="Y18" s="3679"/>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8"/>
      <c r="M19" s="2712"/>
      <c r="N19" s="2712"/>
      <c r="O19" s="2770"/>
      <c r="P19" s="3679"/>
      <c r="Q19" s="1351" t="str">
        <f>B19</f>
        <v>办公集聚程度</v>
      </c>
      <c r="R19" s="705" t="s">
        <v>14</v>
      </c>
      <c r="S19" s="706">
        <f>F19</f>
        <v>100</v>
      </c>
      <c r="T19" s="705" t="s">
        <v>14</v>
      </c>
      <c r="U19" s="706">
        <f>H19</f>
        <v>100</v>
      </c>
      <c r="V19" s="705" t="s">
        <v>14</v>
      </c>
      <c r="W19" s="706">
        <f>J19</f>
        <v>100</v>
      </c>
      <c r="X19" s="1354"/>
      <c r="Y19" s="3679"/>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679"/>
      <c r="Q20" s="1351"/>
      <c r="R20" s="705"/>
      <c r="S20" s="706"/>
      <c r="T20" s="705"/>
      <c r="U20" s="706"/>
      <c r="V20" s="705"/>
      <c r="W20" s="706"/>
      <c r="X20" s="1354"/>
      <c r="Y20" s="3679"/>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106</v>
      </c>
      <c r="I21" s="405"/>
      <c r="J21" s="401">
        <f>SUMIF(93:93,I22,94:94)-SUMIF(93:93,C22,94:94)+100</f>
        <v>106</v>
      </c>
      <c r="K21" s="621">
        <v>3</v>
      </c>
      <c r="L21" s="2718"/>
      <c r="M21" s="2712"/>
      <c r="N21" s="2712"/>
      <c r="O21" s="2770"/>
      <c r="P21" s="3679"/>
      <c r="Q21" s="1351" t="str">
        <f>B21</f>
        <v>交通便捷度</v>
      </c>
      <c r="R21" s="705" t="s">
        <v>14</v>
      </c>
      <c r="S21" s="706">
        <f>F21</f>
        <v>103</v>
      </c>
      <c r="T21" s="705" t="s">
        <v>14</v>
      </c>
      <c r="U21" s="706">
        <f>H21</f>
        <v>106</v>
      </c>
      <c r="V21" s="705" t="s">
        <v>14</v>
      </c>
      <c r="W21" s="706">
        <f>J21</f>
        <v>106</v>
      </c>
      <c r="X21" s="1354"/>
      <c r="Y21" s="3679"/>
      <c r="Z21" s="1355" t="str">
        <f>Q21</f>
        <v>交通便捷度</v>
      </c>
      <c r="AA21" s="1352">
        <f t="shared" si="3"/>
        <v>0.970873786407767</v>
      </c>
      <c r="AB21" s="1352">
        <f t="shared" si="4"/>
        <v>0.94339622641509435</v>
      </c>
      <c r="AC21" s="1352">
        <f t="shared" si="5"/>
        <v>0.94339622641509435</v>
      </c>
    </row>
    <row r="22" spans="1:29" ht="15">
      <c r="A22" s="379"/>
      <c r="B22" s="1131"/>
      <c r="C22" s="3456" t="s">
        <v>3959</v>
      </c>
      <c r="D22" s="401"/>
      <c r="E22" s="3457" t="s">
        <v>3916</v>
      </c>
      <c r="F22" s="399"/>
      <c r="G22" s="3457" t="s">
        <v>3915</v>
      </c>
      <c r="H22" s="399"/>
      <c r="I22" s="3458" t="s">
        <v>3915</v>
      </c>
      <c r="J22" s="399"/>
      <c r="K22" s="620"/>
      <c r="L22" s="2718"/>
      <c r="M22" s="2712"/>
      <c r="N22" s="2712"/>
      <c r="O22" s="2770"/>
      <c r="P22" s="3679"/>
      <c r="Q22" s="1351"/>
      <c r="R22" s="705"/>
      <c r="S22" s="706"/>
      <c r="T22" s="705"/>
      <c r="U22" s="706"/>
      <c r="V22" s="705"/>
      <c r="W22" s="706"/>
      <c r="X22" s="1354"/>
      <c r="Y22" s="367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79"/>
      <c r="Q23" s="1351" t="str">
        <f t="shared" ref="Q23:Q37" si="8">B23</f>
        <v>区域土地利用方向</v>
      </c>
      <c r="R23" s="705" t="s">
        <v>14</v>
      </c>
      <c r="S23" s="706">
        <f>F23</f>
        <v>100</v>
      </c>
      <c r="T23" s="705" t="s">
        <v>14</v>
      </c>
      <c r="U23" s="706">
        <f>H23</f>
        <v>100</v>
      </c>
      <c r="V23" s="705" t="s">
        <v>14</v>
      </c>
      <c r="W23" s="706">
        <f>J23</f>
        <v>100</v>
      </c>
      <c r="X23" s="1354"/>
      <c r="Y23" s="3679"/>
      <c r="Z23" s="1355" t="str">
        <f>Q23</f>
        <v>区域土地利用方向</v>
      </c>
      <c r="AA23" s="1352">
        <f t="shared" si="3"/>
        <v>1</v>
      </c>
      <c r="AB23" s="1352">
        <f t="shared" si="4"/>
        <v>1</v>
      </c>
      <c r="AC23" s="1352">
        <f t="shared" si="5"/>
        <v>1</v>
      </c>
    </row>
    <row r="24" spans="1:29" ht="15">
      <c r="A24" s="358"/>
      <c r="B24" s="407"/>
      <c r="C24" s="3459" t="s">
        <v>3915</v>
      </c>
      <c r="D24" s="399"/>
      <c r="E24" s="3457" t="s">
        <v>3917</v>
      </c>
      <c r="F24" s="399"/>
      <c r="G24" s="3458" t="s">
        <v>3915</v>
      </c>
      <c r="H24" s="399"/>
      <c r="I24" s="3458" t="s">
        <v>3915</v>
      </c>
      <c r="J24" s="399"/>
      <c r="K24" s="740"/>
      <c r="L24" s="2718"/>
      <c r="M24" s="2712"/>
      <c r="N24" s="2712"/>
      <c r="O24" s="2770"/>
      <c r="P24" s="3679"/>
      <c r="Q24" s="1351"/>
      <c r="R24" s="705"/>
      <c r="S24" s="706"/>
      <c r="T24" s="705"/>
      <c r="U24" s="706"/>
      <c r="V24" s="705"/>
      <c r="W24" s="706"/>
      <c r="X24" s="1354"/>
      <c r="Y24" s="3679"/>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103</v>
      </c>
      <c r="I25" s="405"/>
      <c r="J25" s="401">
        <f>SUMIF(97:97,I26,98:98)-SUMIF(97:97,C26,98:98)+100</f>
        <v>100</v>
      </c>
      <c r="K25" s="621">
        <v>3</v>
      </c>
      <c r="L25" s="2718"/>
      <c r="M25" s="2712"/>
      <c r="N25" s="2712"/>
      <c r="O25" s="2770"/>
      <c r="P25" s="3679"/>
      <c r="Q25" s="1351" t="str">
        <f t="shared" si="8"/>
        <v>自然及人文环境状况</v>
      </c>
      <c r="R25" s="705" t="s">
        <v>14</v>
      </c>
      <c r="S25" s="706">
        <f>F25</f>
        <v>100</v>
      </c>
      <c r="T25" s="705" t="s">
        <v>14</v>
      </c>
      <c r="U25" s="706">
        <f>H25</f>
        <v>103</v>
      </c>
      <c r="V25" s="705" t="s">
        <v>14</v>
      </c>
      <c r="W25" s="706">
        <f>J25</f>
        <v>100</v>
      </c>
      <c r="X25" s="1354"/>
      <c r="Y25" s="3679"/>
      <c r="Z25" s="1355" t="str">
        <f>Q25</f>
        <v>自然及人文环境状况</v>
      </c>
      <c r="AA25" s="1352">
        <f t="shared" si="3"/>
        <v>1</v>
      </c>
      <c r="AB25" s="1352">
        <f t="shared" si="4"/>
        <v>0.970873786407767</v>
      </c>
      <c r="AC25" s="1352">
        <f t="shared" si="5"/>
        <v>1</v>
      </c>
    </row>
    <row r="26" spans="1:29" ht="15">
      <c r="A26" s="358"/>
      <c r="B26" s="407"/>
      <c r="C26" s="3456" t="s">
        <v>3916</v>
      </c>
      <c r="D26" s="399"/>
      <c r="E26" s="3462" t="s">
        <v>3916</v>
      </c>
      <c r="F26" s="399"/>
      <c r="G26" s="3462" t="s">
        <v>3915</v>
      </c>
      <c r="H26" s="399"/>
      <c r="I26" s="3456" t="s">
        <v>3916</v>
      </c>
      <c r="J26" s="399"/>
      <c r="K26" s="620"/>
      <c r="L26" s="2718"/>
      <c r="M26" s="2712"/>
      <c r="N26" s="2712"/>
      <c r="O26" s="2770"/>
      <c r="P26" s="3679"/>
      <c r="Q26" s="1351"/>
      <c r="R26" s="705"/>
      <c r="S26" s="706"/>
      <c r="T26" s="705"/>
      <c r="U26" s="706"/>
      <c r="V26" s="705"/>
      <c r="W26" s="706"/>
      <c r="X26" s="1354"/>
      <c r="Y26" s="3679"/>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3"/>
      <c r="M27" s="2714"/>
      <c r="N27" s="2714"/>
      <c r="O27" s="2768"/>
      <c r="P27" s="3679"/>
      <c r="Q27" s="1342" t="str">
        <f t="shared" si="8"/>
        <v>公共配套设施</v>
      </c>
      <c r="R27" s="701" t="s">
        <v>14</v>
      </c>
      <c r="S27" s="702">
        <f>F27</f>
        <v>100</v>
      </c>
      <c r="T27" s="701" t="s">
        <v>14</v>
      </c>
      <c r="U27" s="702">
        <f>H27</f>
        <v>103</v>
      </c>
      <c r="V27" s="701" t="s">
        <v>14</v>
      </c>
      <c r="W27" s="702">
        <f>J27</f>
        <v>103</v>
      </c>
      <c r="X27" s="703"/>
      <c r="Y27" s="3679"/>
      <c r="Z27" s="52" t="str">
        <f>Q27</f>
        <v>公共配套设施</v>
      </c>
      <c r="AA27" s="1352">
        <f>D27/F27</f>
        <v>1</v>
      </c>
      <c r="AB27" s="1352">
        <f>D27/H27</f>
        <v>0.970873786407767</v>
      </c>
      <c r="AC27" s="1352">
        <f>D27/J27</f>
        <v>0.970873786407767</v>
      </c>
    </row>
    <row r="28" spans="1:29" s="108" customFormat="1" ht="15">
      <c r="A28" s="597"/>
      <c r="B28" s="407"/>
      <c r="C28" s="3461" t="s">
        <v>3916</v>
      </c>
      <c r="D28" s="399"/>
      <c r="E28" s="3462" t="s">
        <v>3916</v>
      </c>
      <c r="F28" s="399"/>
      <c r="G28" s="3462" t="s">
        <v>3915</v>
      </c>
      <c r="H28" s="399"/>
      <c r="I28" s="3456" t="s">
        <v>3915</v>
      </c>
      <c r="J28" s="399"/>
      <c r="K28" s="620"/>
      <c r="L28" s="2713"/>
      <c r="M28" s="2714"/>
      <c r="N28" s="2714"/>
      <c r="O28" s="2768"/>
      <c r="P28" s="3679"/>
      <c r="Q28" s="1342"/>
      <c r="R28" s="701"/>
      <c r="S28" s="702"/>
      <c r="T28" s="701"/>
      <c r="U28" s="702"/>
      <c r="V28" s="701"/>
      <c r="W28" s="702"/>
      <c r="X28" s="703"/>
      <c r="Y28" s="3679"/>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679"/>
      <c r="Q29" s="1342"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2">
        <f>D29/F29</f>
        <v>1</v>
      </c>
      <c r="AB29" s="1352">
        <f>D29/H29</f>
        <v>1</v>
      </c>
      <c r="AC29" s="1352">
        <f>D29/J29</f>
        <v>1</v>
      </c>
    </row>
    <row r="30" spans="1:29" s="108" customFormat="1" ht="15">
      <c r="A30" s="597"/>
      <c r="B30" s="407"/>
      <c r="C30" s="3461" t="s">
        <v>3923</v>
      </c>
      <c r="D30" s="399"/>
      <c r="E30" s="3465" t="s">
        <v>3923</v>
      </c>
      <c r="F30" s="399"/>
      <c r="G30" s="3465" t="s">
        <v>3923</v>
      </c>
      <c r="H30" s="399"/>
      <c r="I30" s="3465" t="s">
        <v>3923</v>
      </c>
      <c r="J30" s="399"/>
      <c r="K30" s="620"/>
      <c r="L30" s="2713"/>
      <c r="M30" s="2714"/>
      <c r="N30" s="2714"/>
      <c r="O30" s="2768"/>
      <c r="P30" s="3679"/>
      <c r="Q30" s="1342"/>
      <c r="R30" s="701"/>
      <c r="S30" s="702"/>
      <c r="T30" s="701"/>
      <c r="U30" s="702"/>
      <c r="V30" s="701"/>
      <c r="W30" s="702"/>
      <c r="X30" s="703"/>
      <c r="Y30" s="367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67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679"/>
      <c r="Q32" s="1351" t="str">
        <f t="shared" si="8"/>
        <v>毗邻道路的类型与等级</v>
      </c>
      <c r="R32" s="705" t="s">
        <v>14</v>
      </c>
      <c r="S32" s="706">
        <f t="shared" si="10"/>
        <v>100</v>
      </c>
      <c r="T32" s="705" t="s">
        <v>14</v>
      </c>
      <c r="U32" s="706">
        <f t="shared" si="11"/>
        <v>100</v>
      </c>
      <c r="V32" s="705" t="s">
        <v>14</v>
      </c>
      <c r="W32" s="706">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679"/>
      <c r="Q33" s="1351"/>
      <c r="R33" s="705"/>
      <c r="S33" s="706"/>
      <c r="T33" s="705"/>
      <c r="U33" s="706"/>
      <c r="V33" s="705"/>
      <c r="W33" s="706"/>
      <c r="X33" s="1354"/>
      <c r="Y33" s="3679"/>
      <c r="Z33" s="1355"/>
      <c r="AA33" s="1352">
        <v>1</v>
      </c>
      <c r="AB33" s="1352">
        <v>1</v>
      </c>
      <c r="AC33" s="1352">
        <v>1</v>
      </c>
    </row>
    <row r="34" spans="1:29" ht="15">
      <c r="A34" s="379"/>
      <c r="B34" s="375" t="s">
        <v>1873</v>
      </c>
      <c r="C34" s="3459" t="s">
        <v>3920</v>
      </c>
      <c r="D34" s="386">
        <v>100</v>
      </c>
      <c r="E34" s="3460" t="s">
        <v>3918</v>
      </c>
      <c r="F34" s="386">
        <f>SUMIF(107:107,E34,108:108)-SUMIF(107:107,C34,108:108)+100</f>
        <v>102</v>
      </c>
      <c r="G34" s="3460" t="s">
        <v>3919</v>
      </c>
      <c r="H34" s="386">
        <f>SUMIF(107:107,G34,108:108)-SUMIF(107:107,C34,108:108)+100</f>
        <v>104</v>
      </c>
      <c r="I34" s="3459" t="s">
        <v>3919</v>
      </c>
      <c r="J34" s="386">
        <f>SUMIF(107:107,I34,108:108)-SUMIF(107:107,C34,108:108)+100</f>
        <v>104</v>
      </c>
      <c r="K34" s="561">
        <v>2</v>
      </c>
      <c r="L34" s="2718"/>
      <c r="M34" s="2712"/>
      <c r="N34" s="2712"/>
      <c r="O34" s="2770"/>
      <c r="P34" s="3679"/>
      <c r="Q34" s="1351" t="str">
        <f t="shared" si="8"/>
        <v>土地级别</v>
      </c>
      <c r="R34" s="705" t="s">
        <v>14</v>
      </c>
      <c r="S34" s="706">
        <f t="shared" si="10"/>
        <v>102</v>
      </c>
      <c r="T34" s="705" t="s">
        <v>14</v>
      </c>
      <c r="U34" s="706">
        <f t="shared" si="11"/>
        <v>104</v>
      </c>
      <c r="V34" s="705" t="s">
        <v>14</v>
      </c>
      <c r="W34" s="706">
        <f t="shared" si="12"/>
        <v>104</v>
      </c>
      <c r="X34" s="1354"/>
      <c r="Y34" s="3679"/>
      <c r="Z34" s="1355" t="str">
        <f t="shared" si="13"/>
        <v>土地级别</v>
      </c>
      <c r="AA34" s="1352">
        <f t="shared" si="3"/>
        <v>0.98039215686274506</v>
      </c>
      <c r="AB34" s="1352">
        <f t="shared" si="4"/>
        <v>0.96153846153846156</v>
      </c>
      <c r="AC34" s="1352">
        <f t="shared" si="5"/>
        <v>0.96153846153846156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9"/>
      <c r="Q35" s="1351">
        <f t="shared" si="8"/>
        <v>111</v>
      </c>
      <c r="R35" s="705" t="s">
        <v>14</v>
      </c>
      <c r="S35" s="706">
        <f t="shared" si="10"/>
        <v>100</v>
      </c>
      <c r="T35" s="705" t="s">
        <v>14</v>
      </c>
      <c r="U35" s="706">
        <f t="shared" si="11"/>
        <v>100</v>
      </c>
      <c r="V35" s="705" t="s">
        <v>14</v>
      </c>
      <c r="W35" s="706">
        <f t="shared" si="12"/>
        <v>100</v>
      </c>
      <c r="X35" s="1354"/>
      <c r="Y35" s="367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680" t="s">
        <v>1696</v>
      </c>
      <c r="Q36" s="1351">
        <f t="shared" si="8"/>
        <v>111</v>
      </c>
      <c r="R36" s="705" t="s">
        <v>14</v>
      </c>
      <c r="S36" s="706">
        <f t="shared" si="10"/>
        <v>100</v>
      </c>
      <c r="T36" s="705" t="s">
        <v>14</v>
      </c>
      <c r="U36" s="706">
        <f t="shared" si="11"/>
        <v>100</v>
      </c>
      <c r="V36" s="705" t="s">
        <v>14</v>
      </c>
      <c r="W36" s="706">
        <f t="shared" si="12"/>
        <v>100</v>
      </c>
      <c r="X36" s="1354"/>
      <c r="Y36" s="368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1"/>
      <c r="Q37" s="1351">
        <f t="shared" si="8"/>
        <v>111</v>
      </c>
      <c r="R37" s="708" t="s">
        <v>14</v>
      </c>
      <c r="S37" s="709">
        <f t="shared" si="10"/>
        <v>100</v>
      </c>
      <c r="T37" s="708" t="s">
        <v>14</v>
      </c>
      <c r="U37" s="709">
        <f t="shared" si="11"/>
        <v>100</v>
      </c>
      <c r="V37" s="708" t="s">
        <v>14</v>
      </c>
      <c r="W37" s="709">
        <f t="shared" si="12"/>
        <v>100</v>
      </c>
      <c r="X37" s="710"/>
      <c r="Y37" s="3681"/>
      <c r="Z37" s="711">
        <f t="shared" si="13"/>
        <v>111</v>
      </c>
      <c r="AA37" s="1352">
        <f t="shared" si="3"/>
        <v>1</v>
      </c>
      <c r="AB37" s="1352">
        <f t="shared" si="4"/>
        <v>1</v>
      </c>
      <c r="AC37" s="1352">
        <f t="shared" si="5"/>
        <v>1</v>
      </c>
    </row>
    <row r="38" spans="1:29" ht="15">
      <c r="A38" s="423" t="s">
        <v>1694</v>
      </c>
      <c r="B38" s="407" t="s">
        <v>1874</v>
      </c>
      <c r="C38" s="627">
        <f>'数据-基础表'!A3</f>
        <v>44357.279999999999</v>
      </c>
      <c r="D38" s="418">
        <v>100</v>
      </c>
      <c r="E38" s="627">
        <f>土地案例!$H$3</f>
        <v>27822.39</v>
      </c>
      <c r="F38" s="418">
        <f>LOOKUP(E38,116:116,117:117)-LOOKUP(C38,116:116,117:117)+100</f>
        <v>99</v>
      </c>
      <c r="G38" s="627">
        <f>土地案例!$H$15</f>
        <v>31231.38</v>
      </c>
      <c r="H38" s="418">
        <f>LOOKUP(G38,116:116,117:117)-LOOKUP(C38,116:116,117:117)+100</f>
        <v>99</v>
      </c>
      <c r="I38" s="479">
        <f>土地案例!$H$17</f>
        <v>23004.15</v>
      </c>
      <c r="J38" s="418">
        <f>LOOKUP(I38,116:116,117:117)-LOOKUP(C38,116:116,117:117)+100</f>
        <v>99</v>
      </c>
      <c r="K38" s="562"/>
      <c r="L38" s="2718"/>
      <c r="M38" s="2712"/>
      <c r="N38" s="2712"/>
      <c r="O38" s="2770"/>
      <c r="P38" s="3681"/>
      <c r="Q38" s="1351" t="str">
        <f>B38</f>
        <v>宗地面积</v>
      </c>
      <c r="R38" s="705" t="s">
        <v>14</v>
      </c>
      <c r="S38" s="706">
        <f t="shared" si="10"/>
        <v>99</v>
      </c>
      <c r="T38" s="705" t="s">
        <v>14</v>
      </c>
      <c r="U38" s="706">
        <f t="shared" si="11"/>
        <v>99</v>
      </c>
      <c r="V38" s="705" t="s">
        <v>14</v>
      </c>
      <c r="W38" s="706">
        <f t="shared" si="12"/>
        <v>99</v>
      </c>
      <c r="X38" s="1354"/>
      <c r="Y38" s="3681"/>
      <c r="Z38" s="1355" t="str">
        <f t="shared" si="13"/>
        <v>宗地面积</v>
      </c>
      <c r="AA38" s="1352">
        <f t="shared" si="3"/>
        <v>1.0101010101010102</v>
      </c>
      <c r="AB38" s="1352">
        <f t="shared" si="4"/>
        <v>1.0101010101010102</v>
      </c>
      <c r="AC38" s="1352">
        <f t="shared" si="5"/>
        <v>1.0101010101010102</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681"/>
      <c r="Q39" s="1351" t="str">
        <f t="shared" ref="Q39:Q45" si="14">B39</f>
        <v>宗地形状</v>
      </c>
      <c r="R39" s="705" t="s">
        <v>14</v>
      </c>
      <c r="S39" s="706">
        <f t="shared" si="10"/>
        <v>100</v>
      </c>
      <c r="T39" s="705" t="s">
        <v>14</v>
      </c>
      <c r="U39" s="706">
        <f t="shared" si="11"/>
        <v>100</v>
      </c>
      <c r="V39" s="705" t="s">
        <v>14</v>
      </c>
      <c r="W39" s="706">
        <f t="shared" si="12"/>
        <v>100</v>
      </c>
      <c r="X39" s="1354"/>
      <c r="Y39" s="3681"/>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681"/>
      <c r="Q40" s="1351" t="str">
        <f t="shared" si="14"/>
        <v>临街宽度及深度</v>
      </c>
      <c r="R40" s="705" t="s">
        <v>14</v>
      </c>
      <c r="S40" s="706">
        <f t="shared" si="10"/>
        <v>100</v>
      </c>
      <c r="T40" s="705" t="s">
        <v>14</v>
      </c>
      <c r="U40" s="706">
        <f t="shared" si="11"/>
        <v>100</v>
      </c>
      <c r="V40" s="705" t="s">
        <v>14</v>
      </c>
      <c r="W40" s="706">
        <f t="shared" si="12"/>
        <v>100</v>
      </c>
      <c r="X40" s="1354"/>
      <c r="Y40" s="3681"/>
      <c r="Z40" s="1355" t="str">
        <f t="shared" si="13"/>
        <v>临街宽度及深度</v>
      </c>
      <c r="AA40" s="1352">
        <f t="shared" si="3"/>
        <v>1</v>
      </c>
      <c r="AB40" s="1352">
        <f t="shared" si="4"/>
        <v>1</v>
      </c>
      <c r="AC40" s="1352">
        <f t="shared" si="5"/>
        <v>1</v>
      </c>
    </row>
    <row r="41" spans="1:29" s="108" customFormat="1" ht="15">
      <c r="A41" s="424"/>
      <c r="B41" s="375" t="s">
        <v>1877</v>
      </c>
      <c r="C41" s="3463" t="s">
        <v>3921</v>
      </c>
      <c r="D41" s="127">
        <v>100</v>
      </c>
      <c r="E41" s="3463" t="s">
        <v>3921</v>
      </c>
      <c r="F41" s="386">
        <f>SUMIF(122:122,E41,123:123)-SUMIF(122:122,C41,123:123)+100</f>
        <v>100</v>
      </c>
      <c r="G41" s="3463" t="s">
        <v>3921</v>
      </c>
      <c r="H41" s="386">
        <f>SUMIF(122:122,G41,123:123)-SUMIF(122:122,C41,123:123)+100</f>
        <v>100</v>
      </c>
      <c r="I41" s="3463" t="s">
        <v>3922</v>
      </c>
      <c r="J41" s="386">
        <f>SUMIF(122:122,I41,123:123)-SUMIF(122:122,C41,123:123)+100</f>
        <v>98</v>
      </c>
      <c r="K41" s="561">
        <v>2</v>
      </c>
      <c r="L41" s="2713"/>
      <c r="M41" s="2714"/>
      <c r="N41" s="2714"/>
      <c r="O41" s="2768"/>
      <c r="P41" s="3681"/>
      <c r="Q41" s="1351" t="str">
        <f t="shared" si="14"/>
        <v>宗地开发程度</v>
      </c>
      <c r="R41" s="701" t="s">
        <v>14</v>
      </c>
      <c r="S41" s="702">
        <f t="shared" si="10"/>
        <v>100</v>
      </c>
      <c r="T41" s="701" t="s">
        <v>14</v>
      </c>
      <c r="U41" s="702">
        <f t="shared" si="11"/>
        <v>100</v>
      </c>
      <c r="V41" s="701" t="s">
        <v>14</v>
      </c>
      <c r="W41" s="702">
        <f t="shared" si="12"/>
        <v>98</v>
      </c>
      <c r="X41" s="703"/>
      <c r="Y41" s="3681"/>
      <c r="Z41" s="52" t="str">
        <f t="shared" si="13"/>
        <v>宗地开发程度</v>
      </c>
      <c r="AA41" s="704">
        <f t="shared" si="3"/>
        <v>1</v>
      </c>
      <c r="AB41" s="704">
        <f t="shared" si="4"/>
        <v>1</v>
      </c>
      <c r="AC41" s="704">
        <f t="shared" si="5"/>
        <v>1.0204081632653061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681" t="s">
        <v>1696</v>
      </c>
      <c r="Q42" s="1351" t="str">
        <f t="shared" si="14"/>
        <v>工程地质条件</v>
      </c>
      <c r="R42" s="705" t="s">
        <v>14</v>
      </c>
      <c r="S42" s="706">
        <f t="shared" si="10"/>
        <v>100</v>
      </c>
      <c r="T42" s="705" t="s">
        <v>14</v>
      </c>
      <c r="U42" s="706">
        <f t="shared" si="11"/>
        <v>100</v>
      </c>
      <c r="V42" s="705" t="s">
        <v>14</v>
      </c>
      <c r="W42" s="706">
        <f t="shared" si="12"/>
        <v>100</v>
      </c>
      <c r="X42" s="1354"/>
      <c r="Y42" s="368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1"/>
      <c r="Q43" s="1351">
        <f t="shared" si="14"/>
        <v>111</v>
      </c>
      <c r="R43" s="705" t="s">
        <v>14</v>
      </c>
      <c r="S43" s="706">
        <f t="shared" si="10"/>
        <v>100</v>
      </c>
      <c r="T43" s="705" t="s">
        <v>14</v>
      </c>
      <c r="U43" s="706">
        <f t="shared" si="11"/>
        <v>100</v>
      </c>
      <c r="V43" s="705" t="s">
        <v>14</v>
      </c>
      <c r="W43" s="706">
        <f t="shared" si="12"/>
        <v>100</v>
      </c>
      <c r="X43" s="1354"/>
      <c r="Y43" s="368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1"/>
      <c r="Q44" s="1351">
        <f t="shared" si="14"/>
        <v>111</v>
      </c>
      <c r="R44" s="705" t="s">
        <v>14</v>
      </c>
      <c r="S44" s="706">
        <f t="shared" si="10"/>
        <v>100</v>
      </c>
      <c r="T44" s="705" t="s">
        <v>14</v>
      </c>
      <c r="U44" s="706">
        <f t="shared" si="11"/>
        <v>100</v>
      </c>
      <c r="V44" s="705" t="s">
        <v>14</v>
      </c>
      <c r="W44" s="706">
        <f t="shared" si="12"/>
        <v>100</v>
      </c>
      <c r="X44" s="1354"/>
      <c r="Y44" s="3681"/>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1"/>
      <c r="Q45" s="1351">
        <f t="shared" si="14"/>
        <v>111</v>
      </c>
      <c r="R45" s="708" t="s">
        <v>14</v>
      </c>
      <c r="S45" s="709">
        <f t="shared" si="10"/>
        <v>100</v>
      </c>
      <c r="T45" s="708" t="s">
        <v>14</v>
      </c>
      <c r="U45" s="709">
        <f t="shared" si="11"/>
        <v>100</v>
      </c>
      <c r="V45" s="708" t="s">
        <v>14</v>
      </c>
      <c r="W45" s="709">
        <f t="shared" si="12"/>
        <v>100</v>
      </c>
      <c r="X45" s="710"/>
      <c r="Y45" s="3681"/>
      <c r="Z45" s="711">
        <f t="shared" si="13"/>
        <v>111</v>
      </c>
      <c r="AA45" s="1352">
        <f t="shared" si="3"/>
        <v>1</v>
      </c>
      <c r="AB45" s="1352">
        <f t="shared" si="4"/>
        <v>1</v>
      </c>
      <c r="AC45" s="1352">
        <f t="shared" si="5"/>
        <v>1</v>
      </c>
    </row>
    <row r="46" spans="1:29" ht="15">
      <c r="A46" s="430" t="s">
        <v>1844</v>
      </c>
      <c r="B46" s="1978" t="s">
        <v>1879</v>
      </c>
      <c r="C46" s="630" t="s">
        <v>0</v>
      </c>
      <c r="D46" s="432"/>
      <c r="E46" s="433">
        <v>22464</v>
      </c>
      <c r="F46" s="434"/>
      <c r="G46" s="435">
        <v>22029</v>
      </c>
      <c r="H46" s="436"/>
      <c r="I46" s="433">
        <v>24530</v>
      </c>
      <c r="J46" s="436"/>
      <c r="K46" s="714"/>
      <c r="L46" s="2720"/>
      <c r="M46" s="2721"/>
      <c r="N46" s="2712"/>
      <c r="O46" s="2721"/>
      <c r="P46" s="3677" t="str">
        <f>A46</f>
        <v>成交单价</v>
      </c>
      <c r="Q46" s="3677"/>
      <c r="R46" s="3682">
        <f>E46</f>
        <v>22464</v>
      </c>
      <c r="S46" s="3682"/>
      <c r="T46" s="3682">
        <f>G46</f>
        <v>22029</v>
      </c>
      <c r="U46" s="3682"/>
      <c r="V46" s="3682">
        <f>I46</f>
        <v>24530</v>
      </c>
      <c r="W46" s="3682"/>
      <c r="X46" s="690"/>
      <c r="Y46" s="712"/>
      <c r="Z46" s="690"/>
      <c r="AA46" s="690"/>
      <c r="AB46" s="690"/>
      <c r="AC46" s="690"/>
    </row>
    <row r="47" spans="1:29" ht="15.75" thickBot="1">
      <c r="A47" s="437" t="s">
        <v>1793</v>
      </c>
      <c r="B47" s="631"/>
      <c r="C47" s="440">
        <f>R48</f>
        <v>19489</v>
      </c>
      <c r="D47" s="2313" t="s">
        <v>2138</v>
      </c>
      <c r="E47" s="440">
        <f>R47</f>
        <v>20468</v>
      </c>
      <c r="F47" s="2314"/>
      <c r="G47" s="439">
        <f>T47</f>
        <v>17651</v>
      </c>
      <c r="H47" s="2314"/>
      <c r="I47" s="440">
        <f>V47</f>
        <v>20347</v>
      </c>
      <c r="J47" s="2314"/>
      <c r="K47" s="2316">
        <f>F47+H47+J47</f>
        <v>0</v>
      </c>
      <c r="L47" s="2720"/>
      <c r="M47" s="2721"/>
      <c r="N47" s="2721"/>
      <c r="O47" s="2721"/>
      <c r="P47" s="3677" t="str">
        <f>A47</f>
        <v>比较价值（元/平方米）</v>
      </c>
      <c r="Q47" s="3677"/>
      <c r="R47" s="3670">
        <f>ROUND(PRODUCT(R46,AA7:AA45),0)</f>
        <v>20468</v>
      </c>
      <c r="S47" s="3670"/>
      <c r="T47" s="3670">
        <f>ROUND(PRODUCT(T46,AB7:AB45),0)</f>
        <v>17651</v>
      </c>
      <c r="U47" s="3670"/>
      <c r="V47" s="3670">
        <f>ROUND(PRODUCT(V46,AC7:AC45),0)</f>
        <v>20347</v>
      </c>
      <c r="W47" s="3670"/>
      <c r="X47" s="690"/>
      <c r="Y47" s="690"/>
      <c r="Z47" s="690"/>
      <c r="AA47" s="690"/>
      <c r="AB47" s="690"/>
      <c r="AC47" s="690"/>
    </row>
    <row r="48" spans="1:29" ht="15.75" thickBot="1">
      <c r="A48" s="441" t="s">
        <v>1880</v>
      </c>
      <c r="B48" s="442"/>
      <c r="C48" s="443">
        <f>R48</f>
        <v>19489</v>
      </c>
      <c r="D48" s="443"/>
      <c r="E48" s="443"/>
      <c r="F48" s="443"/>
      <c r="G48" s="443"/>
      <c r="H48" s="443"/>
      <c r="I48" s="443"/>
      <c r="J48" s="443"/>
      <c r="K48" s="715"/>
      <c r="L48" s="2720"/>
      <c r="M48" s="2721"/>
      <c r="N48" s="2721"/>
      <c r="O48" s="2721"/>
      <c r="P48" s="3671" t="str">
        <f>A48</f>
        <v>估价对象XX用房的比较价值（楼面单价，元/平方米）</v>
      </c>
      <c r="Q48" s="3672"/>
      <c r="R48" s="3673">
        <f>ROUND(IF(D47="简单平均",AVERAGE(R47:W47),R47*F47+T47*H47+V47*J47),0)</f>
        <v>19489</v>
      </c>
      <c r="S48" s="3673"/>
      <c r="T48" s="3673"/>
      <c r="U48" s="3673"/>
      <c r="V48" s="3673"/>
      <c r="W48" s="367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9.751807699824111E-2</v>
      </c>
      <c r="F51" s="449" t="str">
        <f>IF(OR(E51&gt;=0.3,E51&lt;=-0.3),"超过30%","")</f>
        <v/>
      </c>
      <c r="G51" s="448">
        <f>IF(G46&lt;G47,G47/G46-1,G46/G47-1)</f>
        <v>0.24803127301569305</v>
      </c>
      <c r="H51" s="449" t="str">
        <f>IF(OR(G51&gt;=0.3,G51&lt;=-0.3),"超过30%","")</f>
        <v/>
      </c>
      <c r="I51" s="448">
        <f>IF(I46&lt;I47,I47/I46-1,I46/I47-1)</f>
        <v>0.20558313264854777</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0.15959435726021187</v>
      </c>
      <c r="F52" s="449" t="str">
        <f>IF(OR(E52&gt;=0.2,E52&lt;=-0.2),"超过20%","")</f>
        <v/>
      </c>
      <c r="G52" s="448">
        <f>IF(G47&lt;I47,I47/G47-1,G47/I47-1)</f>
        <v>0.15273922157384856</v>
      </c>
      <c r="H52" s="449" t="str">
        <f>IF(OR(G52&gt;=0.2,G52&lt;=-0.2),"超过20%","")</f>
        <v/>
      </c>
      <c r="I52" s="448">
        <f>IF(I47&lt;E47,E47/I47-1,I47/E47-1)</f>
        <v>5.9468226274144165E-3</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674" t="s">
        <v>1887</v>
      </c>
      <c r="H55" s="3675"/>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19489</v>
      </c>
      <c r="C56" s="638">
        <v>1</v>
      </c>
      <c r="D56" s="944">
        <v>1</v>
      </c>
      <c r="E56" s="638">
        <f>'数据-汇总表'!E8+'数据-汇总表'!E9</f>
        <v>34610.639999999999</v>
      </c>
      <c r="F56" s="886">
        <f t="shared" ref="F56:F64" si="15">ROUND(B56*E56/10000,0)</f>
        <v>67453</v>
      </c>
      <c r="G56" s="3676"/>
      <c r="H56" s="367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487</v>
      </c>
      <c r="C62" s="171">
        <f t="shared" si="16"/>
        <v>0.1</v>
      </c>
      <c r="D62" s="945">
        <v>0.25</v>
      </c>
      <c r="E62" s="217">
        <f>'数据-汇总表'!E13</f>
        <v>8677.7000000000007</v>
      </c>
      <c r="F62" s="886">
        <f t="shared" si="15"/>
        <v>423</v>
      </c>
      <c r="G62" s="892" t="s">
        <v>1900</v>
      </c>
      <c r="H62" s="887" t="str">
        <f>IF(G62="商业",项目基本情况!B37,IF(G62="办公",项目基本情况!C37,IF(G62="住宅",项目基本情况!D37,项目基本情况!E37)))</f>
        <v>九级</v>
      </c>
      <c r="I62" s="891">
        <f>SUMIF(修正!A57:A68,H62,修正!G57:G68)</f>
        <v>0.1</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43288.34</v>
      </c>
      <c r="F65" s="645">
        <f>IF(B46="楼面地价",SUM(F56:F64),ROUND(C48*E65/10000,0))</f>
        <v>67876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95</v>
      </c>
      <c r="E88" s="493">
        <f>D88-$K15</f>
        <v>90</v>
      </c>
      <c r="F88" s="493">
        <f>E88-$K15</f>
        <v>85</v>
      </c>
      <c r="G88" s="493">
        <f>F88-$K15</f>
        <v>80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82" t="s">
        <v>3961</v>
      </c>
      <c r="D107" s="3482" t="s">
        <v>3962</v>
      </c>
      <c r="E107" s="3482" t="s">
        <v>3963</v>
      </c>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20000</v>
      </c>
      <c r="E116" s="544">
        <v>40000</v>
      </c>
      <c r="F116" s="544">
        <v>60000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v>104</v>
      </c>
      <c r="H117" s="540">
        <v>105</v>
      </c>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64" t="s">
        <v>3923</v>
      </c>
      <c r="D122" s="3464" t="s">
        <v>3921</v>
      </c>
      <c r="E122" s="3464" t="s">
        <v>3924</v>
      </c>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workbookViewId="0">
      <selection activeCell="J42" sqref="J42"/>
    </sheetView>
  </sheetViews>
  <sheetFormatPr defaultRowHeight="12"/>
  <cols>
    <col min="1" max="1" width="31.75" style="3452" customWidth="1"/>
    <col min="2" max="2" width="6.25" style="3452" hidden="1" customWidth="1"/>
    <col min="3" max="4" width="7.875" style="3452" customWidth="1"/>
    <col min="5" max="5" width="13.625" style="3452" hidden="1" customWidth="1"/>
    <col min="6" max="6" width="45.875" style="3452" hidden="1" customWidth="1"/>
    <col min="7" max="7" width="23.125" style="3452" hidden="1" customWidth="1"/>
    <col min="8" max="8" width="9.375" style="3452" customWidth="1"/>
    <col min="9" max="9" width="9.875" style="3452" customWidth="1"/>
    <col min="10" max="10" width="7.5" style="3452" customWidth="1"/>
    <col min="11" max="11" width="7.875" style="3452" customWidth="1"/>
    <col min="12" max="12" width="11.75" style="3452" customWidth="1"/>
    <col min="13" max="15" width="7.875" style="3452" hidden="1" customWidth="1"/>
    <col min="16" max="16" width="13.125" style="3452" hidden="1" customWidth="1"/>
    <col min="17" max="17" width="12.875" style="3452" hidden="1" customWidth="1"/>
    <col min="18" max="19" width="15.5" style="3452" hidden="1" customWidth="1"/>
    <col min="20" max="20" width="12.875" style="3452" hidden="1" customWidth="1"/>
    <col min="21" max="21" width="30.125" style="3452" hidden="1" customWidth="1"/>
    <col min="22" max="22" width="13.375" style="3452" customWidth="1"/>
    <col min="23" max="23" width="101.625" style="3452" hidden="1" customWidth="1"/>
    <col min="24" max="24" width="7.875" style="3452" hidden="1" customWidth="1"/>
    <col min="25" max="27" width="9" style="3452" hidden="1" customWidth="1"/>
    <col min="28" max="28" width="9" style="3452" customWidth="1"/>
    <col min="29" max="29" width="24" style="3452" hidden="1" customWidth="1"/>
    <col min="30" max="30" width="7.875" style="3452" hidden="1" customWidth="1"/>
    <col min="31" max="31" width="90.5" style="3452" hidden="1" customWidth="1"/>
    <col min="32" max="32" width="93.375" style="3452" hidden="1" customWidth="1"/>
    <col min="33" max="34" width="10.625" style="3452" hidden="1" customWidth="1"/>
    <col min="35" max="35" width="10.625" style="3452" customWidth="1"/>
    <col min="36" max="37" width="16" style="3452" hidden="1" customWidth="1"/>
    <col min="38" max="39" width="14.375" style="3452" customWidth="1"/>
    <col min="40" max="41" width="21.875" style="3452" hidden="1" customWidth="1"/>
    <col min="42" max="42" width="6.25" style="3452" customWidth="1"/>
    <col min="43" max="43" width="26.75" style="3452" hidden="1" customWidth="1"/>
    <col min="44" max="44" width="16.875" style="3452" hidden="1" customWidth="1"/>
    <col min="45" max="46" width="20.125" style="3452" hidden="1" customWidth="1"/>
    <col min="47" max="47" width="7.875" style="3452" hidden="1" customWidth="1"/>
    <col min="48" max="256" width="9" style="3452"/>
    <col min="257" max="257" width="31.75" style="3452" customWidth="1"/>
    <col min="258" max="258" width="0" style="3452" hidden="1" customWidth="1"/>
    <col min="259" max="260" width="7.875" style="3452" customWidth="1"/>
    <col min="261" max="263" width="0" style="3452" hidden="1" customWidth="1"/>
    <col min="264" max="264" width="9.375" style="3452" customWidth="1"/>
    <col min="265" max="265" width="9.875" style="3452" customWidth="1"/>
    <col min="266" max="266" width="7.5" style="3452" customWidth="1"/>
    <col min="267" max="267" width="7.875" style="3452" customWidth="1"/>
    <col min="268" max="268" width="11.75" style="3452" customWidth="1"/>
    <col min="269" max="277" width="0" style="3452" hidden="1" customWidth="1"/>
    <col min="278" max="278" width="13.375" style="3452" customWidth="1"/>
    <col min="279" max="283" width="0" style="3452" hidden="1" customWidth="1"/>
    <col min="284" max="284" width="9" style="3452" customWidth="1"/>
    <col min="285" max="290" width="0" style="3452" hidden="1" customWidth="1"/>
    <col min="291" max="291" width="10.625" style="3452" customWidth="1"/>
    <col min="292" max="293" width="0" style="3452" hidden="1" customWidth="1"/>
    <col min="294" max="295" width="14.375" style="3452" customWidth="1"/>
    <col min="296" max="297" width="0" style="3452" hidden="1" customWidth="1"/>
    <col min="298" max="298" width="6.25" style="3452" customWidth="1"/>
    <col min="299" max="303" width="0" style="3452" hidden="1" customWidth="1"/>
    <col min="304" max="512" width="9" style="3452"/>
    <col min="513" max="513" width="31.75" style="3452" customWidth="1"/>
    <col min="514" max="514" width="0" style="3452" hidden="1" customWidth="1"/>
    <col min="515" max="516" width="7.875" style="3452" customWidth="1"/>
    <col min="517" max="519" width="0" style="3452" hidden="1" customWidth="1"/>
    <col min="520" max="520" width="9.375" style="3452" customWidth="1"/>
    <col min="521" max="521" width="9.875" style="3452" customWidth="1"/>
    <col min="522" max="522" width="7.5" style="3452" customWidth="1"/>
    <col min="523" max="523" width="7.875" style="3452" customWidth="1"/>
    <col min="524" max="524" width="11.75" style="3452" customWidth="1"/>
    <col min="525" max="533" width="0" style="3452" hidden="1" customWidth="1"/>
    <col min="534" max="534" width="13.375" style="3452" customWidth="1"/>
    <col min="535" max="539" width="0" style="3452" hidden="1" customWidth="1"/>
    <col min="540" max="540" width="9" style="3452" customWidth="1"/>
    <col min="541" max="546" width="0" style="3452" hidden="1" customWidth="1"/>
    <col min="547" max="547" width="10.625" style="3452" customWidth="1"/>
    <col min="548" max="549" width="0" style="3452" hidden="1" customWidth="1"/>
    <col min="550" max="551" width="14.375" style="3452" customWidth="1"/>
    <col min="552" max="553" width="0" style="3452" hidden="1" customWidth="1"/>
    <col min="554" max="554" width="6.25" style="3452" customWidth="1"/>
    <col min="555" max="559" width="0" style="3452" hidden="1" customWidth="1"/>
    <col min="560" max="768" width="9" style="3452"/>
    <col min="769" max="769" width="31.75" style="3452" customWidth="1"/>
    <col min="770" max="770" width="0" style="3452" hidden="1" customWidth="1"/>
    <col min="771" max="772" width="7.875" style="3452" customWidth="1"/>
    <col min="773" max="775" width="0" style="3452" hidden="1" customWidth="1"/>
    <col min="776" max="776" width="9.375" style="3452" customWidth="1"/>
    <col min="777" max="777" width="9.875" style="3452" customWidth="1"/>
    <col min="778" max="778" width="7.5" style="3452" customWidth="1"/>
    <col min="779" max="779" width="7.875" style="3452" customWidth="1"/>
    <col min="780" max="780" width="11.75" style="3452" customWidth="1"/>
    <col min="781" max="789" width="0" style="3452" hidden="1" customWidth="1"/>
    <col min="790" max="790" width="13.375" style="3452" customWidth="1"/>
    <col min="791" max="795" width="0" style="3452" hidden="1" customWidth="1"/>
    <col min="796" max="796" width="9" style="3452" customWidth="1"/>
    <col min="797" max="802" width="0" style="3452" hidden="1" customWidth="1"/>
    <col min="803" max="803" width="10.625" style="3452" customWidth="1"/>
    <col min="804" max="805" width="0" style="3452" hidden="1" customWidth="1"/>
    <col min="806" max="807" width="14.375" style="3452" customWidth="1"/>
    <col min="808" max="809" width="0" style="3452" hidden="1" customWidth="1"/>
    <col min="810" max="810" width="6.25" style="3452" customWidth="1"/>
    <col min="811" max="815" width="0" style="3452" hidden="1" customWidth="1"/>
    <col min="816" max="1024" width="9" style="3452"/>
    <col min="1025" max="1025" width="31.75" style="3452" customWidth="1"/>
    <col min="1026" max="1026" width="0" style="3452" hidden="1" customWidth="1"/>
    <col min="1027" max="1028" width="7.875" style="3452" customWidth="1"/>
    <col min="1029" max="1031" width="0" style="3452" hidden="1" customWidth="1"/>
    <col min="1032" max="1032" width="9.375" style="3452" customWidth="1"/>
    <col min="1033" max="1033" width="9.875" style="3452" customWidth="1"/>
    <col min="1034" max="1034" width="7.5" style="3452" customWidth="1"/>
    <col min="1035" max="1035" width="7.875" style="3452" customWidth="1"/>
    <col min="1036" max="1036" width="11.75" style="3452" customWidth="1"/>
    <col min="1037" max="1045" width="0" style="3452" hidden="1" customWidth="1"/>
    <col min="1046" max="1046" width="13.375" style="3452" customWidth="1"/>
    <col min="1047" max="1051" width="0" style="3452" hidden="1" customWidth="1"/>
    <col min="1052" max="1052" width="9" style="3452" customWidth="1"/>
    <col min="1053" max="1058" width="0" style="3452" hidden="1" customWidth="1"/>
    <col min="1059" max="1059" width="10.625" style="3452" customWidth="1"/>
    <col min="1060" max="1061" width="0" style="3452" hidden="1" customWidth="1"/>
    <col min="1062" max="1063" width="14.375" style="3452" customWidth="1"/>
    <col min="1064" max="1065" width="0" style="3452" hidden="1" customWidth="1"/>
    <col min="1066" max="1066" width="6.25" style="3452" customWidth="1"/>
    <col min="1067" max="1071" width="0" style="3452" hidden="1" customWidth="1"/>
    <col min="1072" max="1280" width="9" style="3452"/>
    <col min="1281" max="1281" width="31.75" style="3452" customWidth="1"/>
    <col min="1282" max="1282" width="0" style="3452" hidden="1" customWidth="1"/>
    <col min="1283" max="1284" width="7.875" style="3452" customWidth="1"/>
    <col min="1285" max="1287" width="0" style="3452" hidden="1" customWidth="1"/>
    <col min="1288" max="1288" width="9.375" style="3452" customWidth="1"/>
    <col min="1289" max="1289" width="9.875" style="3452" customWidth="1"/>
    <col min="1290" max="1290" width="7.5" style="3452" customWidth="1"/>
    <col min="1291" max="1291" width="7.875" style="3452" customWidth="1"/>
    <col min="1292" max="1292" width="11.75" style="3452" customWidth="1"/>
    <col min="1293" max="1301" width="0" style="3452" hidden="1" customWidth="1"/>
    <col min="1302" max="1302" width="13.375" style="3452" customWidth="1"/>
    <col min="1303" max="1307" width="0" style="3452" hidden="1" customWidth="1"/>
    <col min="1308" max="1308" width="9" style="3452" customWidth="1"/>
    <col min="1309" max="1314" width="0" style="3452" hidden="1" customWidth="1"/>
    <col min="1315" max="1315" width="10.625" style="3452" customWidth="1"/>
    <col min="1316" max="1317" width="0" style="3452" hidden="1" customWidth="1"/>
    <col min="1318" max="1319" width="14.375" style="3452" customWidth="1"/>
    <col min="1320" max="1321" width="0" style="3452" hidden="1" customWidth="1"/>
    <col min="1322" max="1322" width="6.25" style="3452" customWidth="1"/>
    <col min="1323" max="1327" width="0" style="3452" hidden="1" customWidth="1"/>
    <col min="1328" max="1536" width="9" style="3452"/>
    <col min="1537" max="1537" width="31.75" style="3452" customWidth="1"/>
    <col min="1538" max="1538" width="0" style="3452" hidden="1" customWidth="1"/>
    <col min="1539" max="1540" width="7.875" style="3452" customWidth="1"/>
    <col min="1541" max="1543" width="0" style="3452" hidden="1" customWidth="1"/>
    <col min="1544" max="1544" width="9.375" style="3452" customWidth="1"/>
    <col min="1545" max="1545" width="9.875" style="3452" customWidth="1"/>
    <col min="1546" max="1546" width="7.5" style="3452" customWidth="1"/>
    <col min="1547" max="1547" width="7.875" style="3452" customWidth="1"/>
    <col min="1548" max="1548" width="11.75" style="3452" customWidth="1"/>
    <col min="1549" max="1557" width="0" style="3452" hidden="1" customWidth="1"/>
    <col min="1558" max="1558" width="13.375" style="3452" customWidth="1"/>
    <col min="1559" max="1563" width="0" style="3452" hidden="1" customWidth="1"/>
    <col min="1564" max="1564" width="9" style="3452" customWidth="1"/>
    <col min="1565" max="1570" width="0" style="3452" hidden="1" customWidth="1"/>
    <col min="1571" max="1571" width="10.625" style="3452" customWidth="1"/>
    <col min="1572" max="1573" width="0" style="3452" hidden="1" customWidth="1"/>
    <col min="1574" max="1575" width="14.375" style="3452" customWidth="1"/>
    <col min="1576" max="1577" width="0" style="3452" hidden="1" customWidth="1"/>
    <col min="1578" max="1578" width="6.25" style="3452" customWidth="1"/>
    <col min="1579" max="1583" width="0" style="3452" hidden="1" customWidth="1"/>
    <col min="1584" max="1792" width="9" style="3452"/>
    <col min="1793" max="1793" width="31.75" style="3452" customWidth="1"/>
    <col min="1794" max="1794" width="0" style="3452" hidden="1" customWidth="1"/>
    <col min="1795" max="1796" width="7.875" style="3452" customWidth="1"/>
    <col min="1797" max="1799" width="0" style="3452" hidden="1" customWidth="1"/>
    <col min="1800" max="1800" width="9.375" style="3452" customWidth="1"/>
    <col min="1801" max="1801" width="9.875" style="3452" customWidth="1"/>
    <col min="1802" max="1802" width="7.5" style="3452" customWidth="1"/>
    <col min="1803" max="1803" width="7.875" style="3452" customWidth="1"/>
    <col min="1804" max="1804" width="11.75" style="3452" customWidth="1"/>
    <col min="1805" max="1813" width="0" style="3452" hidden="1" customWidth="1"/>
    <col min="1814" max="1814" width="13.375" style="3452" customWidth="1"/>
    <col min="1815" max="1819" width="0" style="3452" hidden="1" customWidth="1"/>
    <col min="1820" max="1820" width="9" style="3452" customWidth="1"/>
    <col min="1821" max="1826" width="0" style="3452" hidden="1" customWidth="1"/>
    <col min="1827" max="1827" width="10.625" style="3452" customWidth="1"/>
    <col min="1828" max="1829" width="0" style="3452" hidden="1" customWidth="1"/>
    <col min="1830" max="1831" width="14.375" style="3452" customWidth="1"/>
    <col min="1832" max="1833" width="0" style="3452" hidden="1" customWidth="1"/>
    <col min="1834" max="1834" width="6.25" style="3452" customWidth="1"/>
    <col min="1835" max="1839" width="0" style="3452" hidden="1" customWidth="1"/>
    <col min="1840" max="2048" width="9" style="3452"/>
    <col min="2049" max="2049" width="31.75" style="3452" customWidth="1"/>
    <col min="2050" max="2050" width="0" style="3452" hidden="1" customWidth="1"/>
    <col min="2051" max="2052" width="7.875" style="3452" customWidth="1"/>
    <col min="2053" max="2055" width="0" style="3452" hidden="1" customWidth="1"/>
    <col min="2056" max="2056" width="9.375" style="3452" customWidth="1"/>
    <col min="2057" max="2057" width="9.875" style="3452" customWidth="1"/>
    <col min="2058" max="2058" width="7.5" style="3452" customWidth="1"/>
    <col min="2059" max="2059" width="7.875" style="3452" customWidth="1"/>
    <col min="2060" max="2060" width="11.75" style="3452" customWidth="1"/>
    <col min="2061" max="2069" width="0" style="3452" hidden="1" customWidth="1"/>
    <col min="2070" max="2070" width="13.375" style="3452" customWidth="1"/>
    <col min="2071" max="2075" width="0" style="3452" hidden="1" customWidth="1"/>
    <col min="2076" max="2076" width="9" style="3452" customWidth="1"/>
    <col min="2077" max="2082" width="0" style="3452" hidden="1" customWidth="1"/>
    <col min="2083" max="2083" width="10.625" style="3452" customWidth="1"/>
    <col min="2084" max="2085" width="0" style="3452" hidden="1" customWidth="1"/>
    <col min="2086" max="2087" width="14.375" style="3452" customWidth="1"/>
    <col min="2088" max="2089" width="0" style="3452" hidden="1" customWidth="1"/>
    <col min="2090" max="2090" width="6.25" style="3452" customWidth="1"/>
    <col min="2091" max="2095" width="0" style="3452" hidden="1" customWidth="1"/>
    <col min="2096" max="2304" width="9" style="3452"/>
    <col min="2305" max="2305" width="31.75" style="3452" customWidth="1"/>
    <col min="2306" max="2306" width="0" style="3452" hidden="1" customWidth="1"/>
    <col min="2307" max="2308" width="7.875" style="3452" customWidth="1"/>
    <col min="2309" max="2311" width="0" style="3452" hidden="1" customWidth="1"/>
    <col min="2312" max="2312" width="9.375" style="3452" customWidth="1"/>
    <col min="2313" max="2313" width="9.875" style="3452" customWidth="1"/>
    <col min="2314" max="2314" width="7.5" style="3452" customWidth="1"/>
    <col min="2315" max="2315" width="7.875" style="3452" customWidth="1"/>
    <col min="2316" max="2316" width="11.75" style="3452" customWidth="1"/>
    <col min="2317" max="2325" width="0" style="3452" hidden="1" customWidth="1"/>
    <col min="2326" max="2326" width="13.375" style="3452" customWidth="1"/>
    <col min="2327" max="2331" width="0" style="3452" hidden="1" customWidth="1"/>
    <col min="2332" max="2332" width="9" style="3452" customWidth="1"/>
    <col min="2333" max="2338" width="0" style="3452" hidden="1" customWidth="1"/>
    <col min="2339" max="2339" width="10.625" style="3452" customWidth="1"/>
    <col min="2340" max="2341" width="0" style="3452" hidden="1" customWidth="1"/>
    <col min="2342" max="2343" width="14.375" style="3452" customWidth="1"/>
    <col min="2344" max="2345" width="0" style="3452" hidden="1" customWidth="1"/>
    <col min="2346" max="2346" width="6.25" style="3452" customWidth="1"/>
    <col min="2347" max="2351" width="0" style="3452" hidden="1" customWidth="1"/>
    <col min="2352" max="2560" width="9" style="3452"/>
    <col min="2561" max="2561" width="31.75" style="3452" customWidth="1"/>
    <col min="2562" max="2562" width="0" style="3452" hidden="1" customWidth="1"/>
    <col min="2563" max="2564" width="7.875" style="3452" customWidth="1"/>
    <col min="2565" max="2567" width="0" style="3452" hidden="1" customWidth="1"/>
    <col min="2568" max="2568" width="9.375" style="3452" customWidth="1"/>
    <col min="2569" max="2569" width="9.875" style="3452" customWidth="1"/>
    <col min="2570" max="2570" width="7.5" style="3452" customWidth="1"/>
    <col min="2571" max="2571" width="7.875" style="3452" customWidth="1"/>
    <col min="2572" max="2572" width="11.75" style="3452" customWidth="1"/>
    <col min="2573" max="2581" width="0" style="3452" hidden="1" customWidth="1"/>
    <col min="2582" max="2582" width="13.375" style="3452" customWidth="1"/>
    <col min="2583" max="2587" width="0" style="3452" hidden="1" customWidth="1"/>
    <col min="2588" max="2588" width="9" style="3452" customWidth="1"/>
    <col min="2589" max="2594" width="0" style="3452" hidden="1" customWidth="1"/>
    <col min="2595" max="2595" width="10.625" style="3452" customWidth="1"/>
    <col min="2596" max="2597" width="0" style="3452" hidden="1" customWidth="1"/>
    <col min="2598" max="2599" width="14.375" style="3452" customWidth="1"/>
    <col min="2600" max="2601" width="0" style="3452" hidden="1" customWidth="1"/>
    <col min="2602" max="2602" width="6.25" style="3452" customWidth="1"/>
    <col min="2603" max="2607" width="0" style="3452" hidden="1" customWidth="1"/>
    <col min="2608" max="2816" width="9" style="3452"/>
    <col min="2817" max="2817" width="31.75" style="3452" customWidth="1"/>
    <col min="2818" max="2818" width="0" style="3452" hidden="1" customWidth="1"/>
    <col min="2819" max="2820" width="7.875" style="3452" customWidth="1"/>
    <col min="2821" max="2823" width="0" style="3452" hidden="1" customWidth="1"/>
    <col min="2824" max="2824" width="9.375" style="3452" customWidth="1"/>
    <col min="2825" max="2825" width="9.875" style="3452" customWidth="1"/>
    <col min="2826" max="2826" width="7.5" style="3452" customWidth="1"/>
    <col min="2827" max="2827" width="7.875" style="3452" customWidth="1"/>
    <col min="2828" max="2828" width="11.75" style="3452" customWidth="1"/>
    <col min="2829" max="2837" width="0" style="3452" hidden="1" customWidth="1"/>
    <col min="2838" max="2838" width="13.375" style="3452" customWidth="1"/>
    <col min="2839" max="2843" width="0" style="3452" hidden="1" customWidth="1"/>
    <col min="2844" max="2844" width="9" style="3452" customWidth="1"/>
    <col min="2845" max="2850" width="0" style="3452" hidden="1" customWidth="1"/>
    <col min="2851" max="2851" width="10.625" style="3452" customWidth="1"/>
    <col min="2852" max="2853" width="0" style="3452" hidden="1" customWidth="1"/>
    <col min="2854" max="2855" width="14.375" style="3452" customWidth="1"/>
    <col min="2856" max="2857" width="0" style="3452" hidden="1" customWidth="1"/>
    <col min="2858" max="2858" width="6.25" style="3452" customWidth="1"/>
    <col min="2859" max="2863" width="0" style="3452" hidden="1" customWidth="1"/>
    <col min="2864" max="3072" width="9" style="3452"/>
    <col min="3073" max="3073" width="31.75" style="3452" customWidth="1"/>
    <col min="3074" max="3074" width="0" style="3452" hidden="1" customWidth="1"/>
    <col min="3075" max="3076" width="7.875" style="3452" customWidth="1"/>
    <col min="3077" max="3079" width="0" style="3452" hidden="1" customWidth="1"/>
    <col min="3080" max="3080" width="9.375" style="3452" customWidth="1"/>
    <col min="3081" max="3081" width="9.875" style="3452" customWidth="1"/>
    <col min="3082" max="3082" width="7.5" style="3452" customWidth="1"/>
    <col min="3083" max="3083" width="7.875" style="3452" customWidth="1"/>
    <col min="3084" max="3084" width="11.75" style="3452" customWidth="1"/>
    <col min="3085" max="3093" width="0" style="3452" hidden="1" customWidth="1"/>
    <col min="3094" max="3094" width="13.375" style="3452" customWidth="1"/>
    <col min="3095" max="3099" width="0" style="3452" hidden="1" customWidth="1"/>
    <col min="3100" max="3100" width="9" style="3452" customWidth="1"/>
    <col min="3101" max="3106" width="0" style="3452" hidden="1" customWidth="1"/>
    <col min="3107" max="3107" width="10.625" style="3452" customWidth="1"/>
    <col min="3108" max="3109" width="0" style="3452" hidden="1" customWidth="1"/>
    <col min="3110" max="3111" width="14.375" style="3452" customWidth="1"/>
    <col min="3112" max="3113" width="0" style="3452" hidden="1" customWidth="1"/>
    <col min="3114" max="3114" width="6.25" style="3452" customWidth="1"/>
    <col min="3115" max="3119" width="0" style="3452" hidden="1" customWidth="1"/>
    <col min="3120" max="3328" width="9" style="3452"/>
    <col min="3329" max="3329" width="31.75" style="3452" customWidth="1"/>
    <col min="3330" max="3330" width="0" style="3452" hidden="1" customWidth="1"/>
    <col min="3331" max="3332" width="7.875" style="3452" customWidth="1"/>
    <col min="3333" max="3335" width="0" style="3452" hidden="1" customWidth="1"/>
    <col min="3336" max="3336" width="9.375" style="3452" customWidth="1"/>
    <col min="3337" max="3337" width="9.875" style="3452" customWidth="1"/>
    <col min="3338" max="3338" width="7.5" style="3452" customWidth="1"/>
    <col min="3339" max="3339" width="7.875" style="3452" customWidth="1"/>
    <col min="3340" max="3340" width="11.75" style="3452" customWidth="1"/>
    <col min="3341" max="3349" width="0" style="3452" hidden="1" customWidth="1"/>
    <col min="3350" max="3350" width="13.375" style="3452" customWidth="1"/>
    <col min="3351" max="3355" width="0" style="3452" hidden="1" customWidth="1"/>
    <col min="3356" max="3356" width="9" style="3452" customWidth="1"/>
    <col min="3357" max="3362" width="0" style="3452" hidden="1" customWidth="1"/>
    <col min="3363" max="3363" width="10.625" style="3452" customWidth="1"/>
    <col min="3364" max="3365" width="0" style="3452" hidden="1" customWidth="1"/>
    <col min="3366" max="3367" width="14.375" style="3452" customWidth="1"/>
    <col min="3368" max="3369" width="0" style="3452" hidden="1" customWidth="1"/>
    <col min="3370" max="3370" width="6.25" style="3452" customWidth="1"/>
    <col min="3371" max="3375" width="0" style="3452" hidden="1" customWidth="1"/>
    <col min="3376" max="3584" width="9" style="3452"/>
    <col min="3585" max="3585" width="31.75" style="3452" customWidth="1"/>
    <col min="3586" max="3586" width="0" style="3452" hidden="1" customWidth="1"/>
    <col min="3587" max="3588" width="7.875" style="3452" customWidth="1"/>
    <col min="3589" max="3591" width="0" style="3452" hidden="1" customWidth="1"/>
    <col min="3592" max="3592" width="9.375" style="3452" customWidth="1"/>
    <col min="3593" max="3593" width="9.875" style="3452" customWidth="1"/>
    <col min="3594" max="3594" width="7.5" style="3452" customWidth="1"/>
    <col min="3595" max="3595" width="7.875" style="3452" customWidth="1"/>
    <col min="3596" max="3596" width="11.75" style="3452" customWidth="1"/>
    <col min="3597" max="3605" width="0" style="3452" hidden="1" customWidth="1"/>
    <col min="3606" max="3606" width="13.375" style="3452" customWidth="1"/>
    <col min="3607" max="3611" width="0" style="3452" hidden="1" customWidth="1"/>
    <col min="3612" max="3612" width="9" style="3452" customWidth="1"/>
    <col min="3613" max="3618" width="0" style="3452" hidden="1" customWidth="1"/>
    <col min="3619" max="3619" width="10.625" style="3452" customWidth="1"/>
    <col min="3620" max="3621" width="0" style="3452" hidden="1" customWidth="1"/>
    <col min="3622" max="3623" width="14.375" style="3452" customWidth="1"/>
    <col min="3624" max="3625" width="0" style="3452" hidden="1" customWidth="1"/>
    <col min="3626" max="3626" width="6.25" style="3452" customWidth="1"/>
    <col min="3627" max="3631" width="0" style="3452" hidden="1" customWidth="1"/>
    <col min="3632" max="3840" width="9" style="3452"/>
    <col min="3841" max="3841" width="31.75" style="3452" customWidth="1"/>
    <col min="3842" max="3842" width="0" style="3452" hidden="1" customWidth="1"/>
    <col min="3843" max="3844" width="7.875" style="3452" customWidth="1"/>
    <col min="3845" max="3847" width="0" style="3452" hidden="1" customWidth="1"/>
    <col min="3848" max="3848" width="9.375" style="3452" customWidth="1"/>
    <col min="3849" max="3849" width="9.875" style="3452" customWidth="1"/>
    <col min="3850" max="3850" width="7.5" style="3452" customWidth="1"/>
    <col min="3851" max="3851" width="7.875" style="3452" customWidth="1"/>
    <col min="3852" max="3852" width="11.75" style="3452" customWidth="1"/>
    <col min="3853" max="3861" width="0" style="3452" hidden="1" customWidth="1"/>
    <col min="3862" max="3862" width="13.375" style="3452" customWidth="1"/>
    <col min="3863" max="3867" width="0" style="3452" hidden="1" customWidth="1"/>
    <col min="3868" max="3868" width="9" style="3452" customWidth="1"/>
    <col min="3869" max="3874" width="0" style="3452" hidden="1" customWidth="1"/>
    <col min="3875" max="3875" width="10.625" style="3452" customWidth="1"/>
    <col min="3876" max="3877" width="0" style="3452" hidden="1" customWidth="1"/>
    <col min="3878" max="3879" width="14.375" style="3452" customWidth="1"/>
    <col min="3880" max="3881" width="0" style="3452" hidden="1" customWidth="1"/>
    <col min="3882" max="3882" width="6.25" style="3452" customWidth="1"/>
    <col min="3883" max="3887" width="0" style="3452" hidden="1" customWidth="1"/>
    <col min="3888" max="4096" width="9" style="3452"/>
    <col min="4097" max="4097" width="31.75" style="3452" customWidth="1"/>
    <col min="4098" max="4098" width="0" style="3452" hidden="1" customWidth="1"/>
    <col min="4099" max="4100" width="7.875" style="3452" customWidth="1"/>
    <col min="4101" max="4103" width="0" style="3452" hidden="1" customWidth="1"/>
    <col min="4104" max="4104" width="9.375" style="3452" customWidth="1"/>
    <col min="4105" max="4105" width="9.875" style="3452" customWidth="1"/>
    <col min="4106" max="4106" width="7.5" style="3452" customWidth="1"/>
    <col min="4107" max="4107" width="7.875" style="3452" customWidth="1"/>
    <col min="4108" max="4108" width="11.75" style="3452" customWidth="1"/>
    <col min="4109" max="4117" width="0" style="3452" hidden="1" customWidth="1"/>
    <col min="4118" max="4118" width="13.375" style="3452" customWidth="1"/>
    <col min="4119" max="4123" width="0" style="3452" hidden="1" customWidth="1"/>
    <col min="4124" max="4124" width="9" style="3452" customWidth="1"/>
    <col min="4125" max="4130" width="0" style="3452" hidden="1" customWidth="1"/>
    <col min="4131" max="4131" width="10.625" style="3452" customWidth="1"/>
    <col min="4132" max="4133" width="0" style="3452" hidden="1" customWidth="1"/>
    <col min="4134" max="4135" width="14.375" style="3452" customWidth="1"/>
    <col min="4136" max="4137" width="0" style="3452" hidden="1" customWidth="1"/>
    <col min="4138" max="4138" width="6.25" style="3452" customWidth="1"/>
    <col min="4139" max="4143" width="0" style="3452" hidden="1" customWidth="1"/>
    <col min="4144" max="4352" width="9" style="3452"/>
    <col min="4353" max="4353" width="31.75" style="3452" customWidth="1"/>
    <col min="4354" max="4354" width="0" style="3452" hidden="1" customWidth="1"/>
    <col min="4355" max="4356" width="7.875" style="3452" customWidth="1"/>
    <col min="4357" max="4359" width="0" style="3452" hidden="1" customWidth="1"/>
    <col min="4360" max="4360" width="9.375" style="3452" customWidth="1"/>
    <col min="4361" max="4361" width="9.875" style="3452" customWidth="1"/>
    <col min="4362" max="4362" width="7.5" style="3452" customWidth="1"/>
    <col min="4363" max="4363" width="7.875" style="3452" customWidth="1"/>
    <col min="4364" max="4364" width="11.75" style="3452" customWidth="1"/>
    <col min="4365" max="4373" width="0" style="3452" hidden="1" customWidth="1"/>
    <col min="4374" max="4374" width="13.375" style="3452" customWidth="1"/>
    <col min="4375" max="4379" width="0" style="3452" hidden="1" customWidth="1"/>
    <col min="4380" max="4380" width="9" style="3452" customWidth="1"/>
    <col min="4381" max="4386" width="0" style="3452" hidden="1" customWidth="1"/>
    <col min="4387" max="4387" width="10.625" style="3452" customWidth="1"/>
    <col min="4388" max="4389" width="0" style="3452" hidden="1" customWidth="1"/>
    <col min="4390" max="4391" width="14.375" style="3452" customWidth="1"/>
    <col min="4392" max="4393" width="0" style="3452" hidden="1" customWidth="1"/>
    <col min="4394" max="4394" width="6.25" style="3452" customWidth="1"/>
    <col min="4395" max="4399" width="0" style="3452" hidden="1" customWidth="1"/>
    <col min="4400" max="4608" width="9" style="3452"/>
    <col min="4609" max="4609" width="31.75" style="3452" customWidth="1"/>
    <col min="4610" max="4610" width="0" style="3452" hidden="1" customWidth="1"/>
    <col min="4611" max="4612" width="7.875" style="3452" customWidth="1"/>
    <col min="4613" max="4615" width="0" style="3452" hidden="1" customWidth="1"/>
    <col min="4616" max="4616" width="9.375" style="3452" customWidth="1"/>
    <col min="4617" max="4617" width="9.875" style="3452" customWidth="1"/>
    <col min="4618" max="4618" width="7.5" style="3452" customWidth="1"/>
    <col min="4619" max="4619" width="7.875" style="3452" customWidth="1"/>
    <col min="4620" max="4620" width="11.75" style="3452" customWidth="1"/>
    <col min="4621" max="4629" width="0" style="3452" hidden="1" customWidth="1"/>
    <col min="4630" max="4630" width="13.375" style="3452" customWidth="1"/>
    <col min="4631" max="4635" width="0" style="3452" hidden="1" customWidth="1"/>
    <col min="4636" max="4636" width="9" style="3452" customWidth="1"/>
    <col min="4637" max="4642" width="0" style="3452" hidden="1" customWidth="1"/>
    <col min="4643" max="4643" width="10.625" style="3452" customWidth="1"/>
    <col min="4644" max="4645" width="0" style="3452" hidden="1" customWidth="1"/>
    <col min="4646" max="4647" width="14.375" style="3452" customWidth="1"/>
    <col min="4648" max="4649" width="0" style="3452" hidden="1" customWidth="1"/>
    <col min="4650" max="4650" width="6.25" style="3452" customWidth="1"/>
    <col min="4651" max="4655" width="0" style="3452" hidden="1" customWidth="1"/>
    <col min="4656" max="4864" width="9" style="3452"/>
    <col min="4865" max="4865" width="31.75" style="3452" customWidth="1"/>
    <col min="4866" max="4866" width="0" style="3452" hidden="1" customWidth="1"/>
    <col min="4867" max="4868" width="7.875" style="3452" customWidth="1"/>
    <col min="4869" max="4871" width="0" style="3452" hidden="1" customWidth="1"/>
    <col min="4872" max="4872" width="9.375" style="3452" customWidth="1"/>
    <col min="4873" max="4873" width="9.875" style="3452" customWidth="1"/>
    <col min="4874" max="4874" width="7.5" style="3452" customWidth="1"/>
    <col min="4875" max="4875" width="7.875" style="3452" customWidth="1"/>
    <col min="4876" max="4876" width="11.75" style="3452" customWidth="1"/>
    <col min="4877" max="4885" width="0" style="3452" hidden="1" customWidth="1"/>
    <col min="4886" max="4886" width="13.375" style="3452" customWidth="1"/>
    <col min="4887" max="4891" width="0" style="3452" hidden="1" customWidth="1"/>
    <col min="4892" max="4892" width="9" style="3452" customWidth="1"/>
    <col min="4893" max="4898" width="0" style="3452" hidden="1" customWidth="1"/>
    <col min="4899" max="4899" width="10.625" style="3452" customWidth="1"/>
    <col min="4900" max="4901" width="0" style="3452" hidden="1" customWidth="1"/>
    <col min="4902" max="4903" width="14.375" style="3452" customWidth="1"/>
    <col min="4904" max="4905" width="0" style="3452" hidden="1" customWidth="1"/>
    <col min="4906" max="4906" width="6.25" style="3452" customWidth="1"/>
    <col min="4907" max="4911" width="0" style="3452" hidden="1" customWidth="1"/>
    <col min="4912" max="5120" width="9" style="3452"/>
    <col min="5121" max="5121" width="31.75" style="3452" customWidth="1"/>
    <col min="5122" max="5122" width="0" style="3452" hidden="1" customWidth="1"/>
    <col min="5123" max="5124" width="7.875" style="3452" customWidth="1"/>
    <col min="5125" max="5127" width="0" style="3452" hidden="1" customWidth="1"/>
    <col min="5128" max="5128" width="9.375" style="3452" customWidth="1"/>
    <col min="5129" max="5129" width="9.875" style="3452" customWidth="1"/>
    <col min="5130" max="5130" width="7.5" style="3452" customWidth="1"/>
    <col min="5131" max="5131" width="7.875" style="3452" customWidth="1"/>
    <col min="5132" max="5132" width="11.75" style="3452" customWidth="1"/>
    <col min="5133" max="5141" width="0" style="3452" hidden="1" customWidth="1"/>
    <col min="5142" max="5142" width="13.375" style="3452" customWidth="1"/>
    <col min="5143" max="5147" width="0" style="3452" hidden="1" customWidth="1"/>
    <col min="5148" max="5148" width="9" style="3452" customWidth="1"/>
    <col min="5149" max="5154" width="0" style="3452" hidden="1" customWidth="1"/>
    <col min="5155" max="5155" width="10.625" style="3452" customWidth="1"/>
    <col min="5156" max="5157" width="0" style="3452" hidden="1" customWidth="1"/>
    <col min="5158" max="5159" width="14.375" style="3452" customWidth="1"/>
    <col min="5160" max="5161" width="0" style="3452" hidden="1" customWidth="1"/>
    <col min="5162" max="5162" width="6.25" style="3452" customWidth="1"/>
    <col min="5163" max="5167" width="0" style="3452" hidden="1" customWidth="1"/>
    <col min="5168" max="5376" width="9" style="3452"/>
    <col min="5377" max="5377" width="31.75" style="3452" customWidth="1"/>
    <col min="5378" max="5378" width="0" style="3452" hidden="1" customWidth="1"/>
    <col min="5379" max="5380" width="7.875" style="3452" customWidth="1"/>
    <col min="5381" max="5383" width="0" style="3452" hidden="1" customWidth="1"/>
    <col min="5384" max="5384" width="9.375" style="3452" customWidth="1"/>
    <col min="5385" max="5385" width="9.875" style="3452" customWidth="1"/>
    <col min="5386" max="5386" width="7.5" style="3452" customWidth="1"/>
    <col min="5387" max="5387" width="7.875" style="3452" customWidth="1"/>
    <col min="5388" max="5388" width="11.75" style="3452" customWidth="1"/>
    <col min="5389" max="5397" width="0" style="3452" hidden="1" customWidth="1"/>
    <col min="5398" max="5398" width="13.375" style="3452" customWidth="1"/>
    <col min="5399" max="5403" width="0" style="3452" hidden="1" customWidth="1"/>
    <col min="5404" max="5404" width="9" style="3452" customWidth="1"/>
    <col min="5405" max="5410" width="0" style="3452" hidden="1" customWidth="1"/>
    <col min="5411" max="5411" width="10.625" style="3452" customWidth="1"/>
    <col min="5412" max="5413" width="0" style="3452" hidden="1" customWidth="1"/>
    <col min="5414" max="5415" width="14.375" style="3452" customWidth="1"/>
    <col min="5416" max="5417" width="0" style="3452" hidden="1" customWidth="1"/>
    <col min="5418" max="5418" width="6.25" style="3452" customWidth="1"/>
    <col min="5419" max="5423" width="0" style="3452" hidden="1" customWidth="1"/>
    <col min="5424" max="5632" width="9" style="3452"/>
    <col min="5633" max="5633" width="31.75" style="3452" customWidth="1"/>
    <col min="5634" max="5634" width="0" style="3452" hidden="1" customWidth="1"/>
    <col min="5635" max="5636" width="7.875" style="3452" customWidth="1"/>
    <col min="5637" max="5639" width="0" style="3452" hidden="1" customWidth="1"/>
    <col min="5640" max="5640" width="9.375" style="3452" customWidth="1"/>
    <col min="5641" max="5641" width="9.875" style="3452" customWidth="1"/>
    <col min="5642" max="5642" width="7.5" style="3452" customWidth="1"/>
    <col min="5643" max="5643" width="7.875" style="3452" customWidth="1"/>
    <col min="5644" max="5644" width="11.75" style="3452" customWidth="1"/>
    <col min="5645" max="5653" width="0" style="3452" hidden="1" customWidth="1"/>
    <col min="5654" max="5654" width="13.375" style="3452" customWidth="1"/>
    <col min="5655" max="5659" width="0" style="3452" hidden="1" customWidth="1"/>
    <col min="5660" max="5660" width="9" style="3452" customWidth="1"/>
    <col min="5661" max="5666" width="0" style="3452" hidden="1" customWidth="1"/>
    <col min="5667" max="5667" width="10.625" style="3452" customWidth="1"/>
    <col min="5668" max="5669" width="0" style="3452" hidden="1" customWidth="1"/>
    <col min="5670" max="5671" width="14.375" style="3452" customWidth="1"/>
    <col min="5672" max="5673" width="0" style="3452" hidden="1" customWidth="1"/>
    <col min="5674" max="5674" width="6.25" style="3452" customWidth="1"/>
    <col min="5675" max="5679" width="0" style="3452" hidden="1" customWidth="1"/>
    <col min="5680" max="5888" width="9" style="3452"/>
    <col min="5889" max="5889" width="31.75" style="3452" customWidth="1"/>
    <col min="5890" max="5890" width="0" style="3452" hidden="1" customWidth="1"/>
    <col min="5891" max="5892" width="7.875" style="3452" customWidth="1"/>
    <col min="5893" max="5895" width="0" style="3452" hidden="1" customWidth="1"/>
    <col min="5896" max="5896" width="9.375" style="3452" customWidth="1"/>
    <col min="5897" max="5897" width="9.875" style="3452" customWidth="1"/>
    <col min="5898" max="5898" width="7.5" style="3452" customWidth="1"/>
    <col min="5899" max="5899" width="7.875" style="3452" customWidth="1"/>
    <col min="5900" max="5900" width="11.75" style="3452" customWidth="1"/>
    <col min="5901" max="5909" width="0" style="3452" hidden="1" customWidth="1"/>
    <col min="5910" max="5910" width="13.375" style="3452" customWidth="1"/>
    <col min="5911" max="5915" width="0" style="3452" hidden="1" customWidth="1"/>
    <col min="5916" max="5916" width="9" style="3452" customWidth="1"/>
    <col min="5917" max="5922" width="0" style="3452" hidden="1" customWidth="1"/>
    <col min="5923" max="5923" width="10.625" style="3452" customWidth="1"/>
    <col min="5924" max="5925" width="0" style="3452" hidden="1" customWidth="1"/>
    <col min="5926" max="5927" width="14.375" style="3452" customWidth="1"/>
    <col min="5928" max="5929" width="0" style="3452" hidden="1" customWidth="1"/>
    <col min="5930" max="5930" width="6.25" style="3452" customWidth="1"/>
    <col min="5931" max="5935" width="0" style="3452" hidden="1" customWidth="1"/>
    <col min="5936" max="6144" width="9" style="3452"/>
    <col min="6145" max="6145" width="31.75" style="3452" customWidth="1"/>
    <col min="6146" max="6146" width="0" style="3452" hidden="1" customWidth="1"/>
    <col min="6147" max="6148" width="7.875" style="3452" customWidth="1"/>
    <col min="6149" max="6151" width="0" style="3452" hidden="1" customWidth="1"/>
    <col min="6152" max="6152" width="9.375" style="3452" customWidth="1"/>
    <col min="6153" max="6153" width="9.875" style="3452" customWidth="1"/>
    <col min="6154" max="6154" width="7.5" style="3452" customWidth="1"/>
    <col min="6155" max="6155" width="7.875" style="3452" customWidth="1"/>
    <col min="6156" max="6156" width="11.75" style="3452" customWidth="1"/>
    <col min="6157" max="6165" width="0" style="3452" hidden="1" customWidth="1"/>
    <col min="6166" max="6166" width="13.375" style="3452" customWidth="1"/>
    <col min="6167" max="6171" width="0" style="3452" hidden="1" customWidth="1"/>
    <col min="6172" max="6172" width="9" style="3452" customWidth="1"/>
    <col min="6173" max="6178" width="0" style="3452" hidden="1" customWidth="1"/>
    <col min="6179" max="6179" width="10.625" style="3452" customWidth="1"/>
    <col min="6180" max="6181" width="0" style="3452" hidden="1" customWidth="1"/>
    <col min="6182" max="6183" width="14.375" style="3452" customWidth="1"/>
    <col min="6184" max="6185" width="0" style="3452" hidden="1" customWidth="1"/>
    <col min="6186" max="6186" width="6.25" style="3452" customWidth="1"/>
    <col min="6187" max="6191" width="0" style="3452" hidden="1" customWidth="1"/>
    <col min="6192" max="6400" width="9" style="3452"/>
    <col min="6401" max="6401" width="31.75" style="3452" customWidth="1"/>
    <col min="6402" max="6402" width="0" style="3452" hidden="1" customWidth="1"/>
    <col min="6403" max="6404" width="7.875" style="3452" customWidth="1"/>
    <col min="6405" max="6407" width="0" style="3452" hidden="1" customWidth="1"/>
    <col min="6408" max="6408" width="9.375" style="3452" customWidth="1"/>
    <col min="6409" max="6409" width="9.875" style="3452" customWidth="1"/>
    <col min="6410" max="6410" width="7.5" style="3452" customWidth="1"/>
    <col min="6411" max="6411" width="7.875" style="3452" customWidth="1"/>
    <col min="6412" max="6412" width="11.75" style="3452" customWidth="1"/>
    <col min="6413" max="6421" width="0" style="3452" hidden="1" customWidth="1"/>
    <col min="6422" max="6422" width="13.375" style="3452" customWidth="1"/>
    <col min="6423" max="6427" width="0" style="3452" hidden="1" customWidth="1"/>
    <col min="6428" max="6428" width="9" style="3452" customWidth="1"/>
    <col min="6429" max="6434" width="0" style="3452" hidden="1" customWidth="1"/>
    <col min="6435" max="6435" width="10.625" style="3452" customWidth="1"/>
    <col min="6436" max="6437" width="0" style="3452" hidden="1" customWidth="1"/>
    <col min="6438" max="6439" width="14.375" style="3452" customWidth="1"/>
    <col min="6440" max="6441" width="0" style="3452" hidden="1" customWidth="1"/>
    <col min="6442" max="6442" width="6.25" style="3452" customWidth="1"/>
    <col min="6443" max="6447" width="0" style="3452" hidden="1" customWidth="1"/>
    <col min="6448" max="6656" width="9" style="3452"/>
    <col min="6657" max="6657" width="31.75" style="3452" customWidth="1"/>
    <col min="6658" max="6658" width="0" style="3452" hidden="1" customWidth="1"/>
    <col min="6659" max="6660" width="7.875" style="3452" customWidth="1"/>
    <col min="6661" max="6663" width="0" style="3452" hidden="1" customWidth="1"/>
    <col min="6664" max="6664" width="9.375" style="3452" customWidth="1"/>
    <col min="6665" max="6665" width="9.875" style="3452" customWidth="1"/>
    <col min="6666" max="6666" width="7.5" style="3452" customWidth="1"/>
    <col min="6667" max="6667" width="7.875" style="3452" customWidth="1"/>
    <col min="6668" max="6668" width="11.75" style="3452" customWidth="1"/>
    <col min="6669" max="6677" width="0" style="3452" hidden="1" customWidth="1"/>
    <col min="6678" max="6678" width="13.375" style="3452" customWidth="1"/>
    <col min="6679" max="6683" width="0" style="3452" hidden="1" customWidth="1"/>
    <col min="6684" max="6684" width="9" style="3452" customWidth="1"/>
    <col min="6685" max="6690" width="0" style="3452" hidden="1" customWidth="1"/>
    <col min="6691" max="6691" width="10.625" style="3452" customWidth="1"/>
    <col min="6692" max="6693" width="0" style="3452" hidden="1" customWidth="1"/>
    <col min="6694" max="6695" width="14.375" style="3452" customWidth="1"/>
    <col min="6696" max="6697" width="0" style="3452" hidden="1" customWidth="1"/>
    <col min="6698" max="6698" width="6.25" style="3452" customWidth="1"/>
    <col min="6699" max="6703" width="0" style="3452" hidden="1" customWidth="1"/>
    <col min="6704" max="6912" width="9" style="3452"/>
    <col min="6913" max="6913" width="31.75" style="3452" customWidth="1"/>
    <col min="6914" max="6914" width="0" style="3452" hidden="1" customWidth="1"/>
    <col min="6915" max="6916" width="7.875" style="3452" customWidth="1"/>
    <col min="6917" max="6919" width="0" style="3452" hidden="1" customWidth="1"/>
    <col min="6920" max="6920" width="9.375" style="3452" customWidth="1"/>
    <col min="6921" max="6921" width="9.875" style="3452" customWidth="1"/>
    <col min="6922" max="6922" width="7.5" style="3452" customWidth="1"/>
    <col min="6923" max="6923" width="7.875" style="3452" customWidth="1"/>
    <col min="6924" max="6924" width="11.75" style="3452" customWidth="1"/>
    <col min="6925" max="6933" width="0" style="3452" hidden="1" customWidth="1"/>
    <col min="6934" max="6934" width="13.375" style="3452" customWidth="1"/>
    <col min="6935" max="6939" width="0" style="3452" hidden="1" customWidth="1"/>
    <col min="6940" max="6940" width="9" style="3452" customWidth="1"/>
    <col min="6941" max="6946" width="0" style="3452" hidden="1" customWidth="1"/>
    <col min="6947" max="6947" width="10.625" style="3452" customWidth="1"/>
    <col min="6948" max="6949" width="0" style="3452" hidden="1" customWidth="1"/>
    <col min="6950" max="6951" width="14.375" style="3452" customWidth="1"/>
    <col min="6952" max="6953" width="0" style="3452" hidden="1" customWidth="1"/>
    <col min="6954" max="6954" width="6.25" style="3452" customWidth="1"/>
    <col min="6955" max="6959" width="0" style="3452" hidden="1" customWidth="1"/>
    <col min="6960" max="7168" width="9" style="3452"/>
    <col min="7169" max="7169" width="31.75" style="3452" customWidth="1"/>
    <col min="7170" max="7170" width="0" style="3452" hidden="1" customWidth="1"/>
    <col min="7171" max="7172" width="7.875" style="3452" customWidth="1"/>
    <col min="7173" max="7175" width="0" style="3452" hidden="1" customWidth="1"/>
    <col min="7176" max="7176" width="9.375" style="3452" customWidth="1"/>
    <col min="7177" max="7177" width="9.875" style="3452" customWidth="1"/>
    <col min="7178" max="7178" width="7.5" style="3452" customWidth="1"/>
    <col min="7179" max="7179" width="7.875" style="3452" customWidth="1"/>
    <col min="7180" max="7180" width="11.75" style="3452" customWidth="1"/>
    <col min="7181" max="7189" width="0" style="3452" hidden="1" customWidth="1"/>
    <col min="7190" max="7190" width="13.375" style="3452" customWidth="1"/>
    <col min="7191" max="7195" width="0" style="3452" hidden="1" customWidth="1"/>
    <col min="7196" max="7196" width="9" style="3452" customWidth="1"/>
    <col min="7197" max="7202" width="0" style="3452" hidden="1" customWidth="1"/>
    <col min="7203" max="7203" width="10.625" style="3452" customWidth="1"/>
    <col min="7204" max="7205" width="0" style="3452" hidden="1" customWidth="1"/>
    <col min="7206" max="7207" width="14.375" style="3452" customWidth="1"/>
    <col min="7208" max="7209" width="0" style="3452" hidden="1" customWidth="1"/>
    <col min="7210" max="7210" width="6.25" style="3452" customWidth="1"/>
    <col min="7211" max="7215" width="0" style="3452" hidden="1" customWidth="1"/>
    <col min="7216" max="7424" width="9" style="3452"/>
    <col min="7425" max="7425" width="31.75" style="3452" customWidth="1"/>
    <col min="7426" max="7426" width="0" style="3452" hidden="1" customWidth="1"/>
    <col min="7427" max="7428" width="7.875" style="3452" customWidth="1"/>
    <col min="7429" max="7431" width="0" style="3452" hidden="1" customWidth="1"/>
    <col min="7432" max="7432" width="9.375" style="3452" customWidth="1"/>
    <col min="7433" max="7433" width="9.875" style="3452" customWidth="1"/>
    <col min="7434" max="7434" width="7.5" style="3452" customWidth="1"/>
    <col min="7435" max="7435" width="7.875" style="3452" customWidth="1"/>
    <col min="7436" max="7436" width="11.75" style="3452" customWidth="1"/>
    <col min="7437" max="7445" width="0" style="3452" hidden="1" customWidth="1"/>
    <col min="7446" max="7446" width="13.375" style="3452" customWidth="1"/>
    <col min="7447" max="7451" width="0" style="3452" hidden="1" customWidth="1"/>
    <col min="7452" max="7452" width="9" style="3452" customWidth="1"/>
    <col min="7453" max="7458" width="0" style="3452" hidden="1" customWidth="1"/>
    <col min="7459" max="7459" width="10.625" style="3452" customWidth="1"/>
    <col min="7460" max="7461" width="0" style="3452" hidden="1" customWidth="1"/>
    <col min="7462" max="7463" width="14.375" style="3452" customWidth="1"/>
    <col min="7464" max="7465" width="0" style="3452" hidden="1" customWidth="1"/>
    <col min="7466" max="7466" width="6.25" style="3452" customWidth="1"/>
    <col min="7467" max="7471" width="0" style="3452" hidden="1" customWidth="1"/>
    <col min="7472" max="7680" width="9" style="3452"/>
    <col min="7681" max="7681" width="31.75" style="3452" customWidth="1"/>
    <col min="7682" max="7682" width="0" style="3452" hidden="1" customWidth="1"/>
    <col min="7683" max="7684" width="7.875" style="3452" customWidth="1"/>
    <col min="7685" max="7687" width="0" style="3452" hidden="1" customWidth="1"/>
    <col min="7688" max="7688" width="9.375" style="3452" customWidth="1"/>
    <col min="7689" max="7689" width="9.875" style="3452" customWidth="1"/>
    <col min="7690" max="7690" width="7.5" style="3452" customWidth="1"/>
    <col min="7691" max="7691" width="7.875" style="3452" customWidth="1"/>
    <col min="7692" max="7692" width="11.75" style="3452" customWidth="1"/>
    <col min="7693" max="7701" width="0" style="3452" hidden="1" customWidth="1"/>
    <col min="7702" max="7702" width="13.375" style="3452" customWidth="1"/>
    <col min="7703" max="7707" width="0" style="3452" hidden="1" customWidth="1"/>
    <col min="7708" max="7708" width="9" style="3452" customWidth="1"/>
    <col min="7709" max="7714" width="0" style="3452" hidden="1" customWidth="1"/>
    <col min="7715" max="7715" width="10.625" style="3452" customWidth="1"/>
    <col min="7716" max="7717" width="0" style="3452" hidden="1" customWidth="1"/>
    <col min="7718" max="7719" width="14.375" style="3452" customWidth="1"/>
    <col min="7720" max="7721" width="0" style="3452" hidden="1" customWidth="1"/>
    <col min="7722" max="7722" width="6.25" style="3452" customWidth="1"/>
    <col min="7723" max="7727" width="0" style="3452" hidden="1" customWidth="1"/>
    <col min="7728" max="7936" width="9" style="3452"/>
    <col min="7937" max="7937" width="31.75" style="3452" customWidth="1"/>
    <col min="7938" max="7938" width="0" style="3452" hidden="1" customWidth="1"/>
    <col min="7939" max="7940" width="7.875" style="3452" customWidth="1"/>
    <col min="7941" max="7943" width="0" style="3452" hidden="1" customWidth="1"/>
    <col min="7944" max="7944" width="9.375" style="3452" customWidth="1"/>
    <col min="7945" max="7945" width="9.875" style="3452" customWidth="1"/>
    <col min="7946" max="7946" width="7.5" style="3452" customWidth="1"/>
    <col min="7947" max="7947" width="7.875" style="3452" customWidth="1"/>
    <col min="7948" max="7948" width="11.75" style="3452" customWidth="1"/>
    <col min="7949" max="7957" width="0" style="3452" hidden="1" customWidth="1"/>
    <col min="7958" max="7958" width="13.375" style="3452" customWidth="1"/>
    <col min="7959" max="7963" width="0" style="3452" hidden="1" customWidth="1"/>
    <col min="7964" max="7964" width="9" style="3452" customWidth="1"/>
    <col min="7965" max="7970" width="0" style="3452" hidden="1" customWidth="1"/>
    <col min="7971" max="7971" width="10.625" style="3452" customWidth="1"/>
    <col min="7972" max="7973" width="0" style="3452" hidden="1" customWidth="1"/>
    <col min="7974" max="7975" width="14.375" style="3452" customWidth="1"/>
    <col min="7976" max="7977" width="0" style="3452" hidden="1" customWidth="1"/>
    <col min="7978" max="7978" width="6.25" style="3452" customWidth="1"/>
    <col min="7979" max="7983" width="0" style="3452" hidden="1" customWidth="1"/>
    <col min="7984" max="8192" width="9" style="3452"/>
    <col min="8193" max="8193" width="31.75" style="3452" customWidth="1"/>
    <col min="8194" max="8194" width="0" style="3452" hidden="1" customWidth="1"/>
    <col min="8195" max="8196" width="7.875" style="3452" customWidth="1"/>
    <col min="8197" max="8199" width="0" style="3452" hidden="1" customWidth="1"/>
    <col min="8200" max="8200" width="9.375" style="3452" customWidth="1"/>
    <col min="8201" max="8201" width="9.875" style="3452" customWidth="1"/>
    <col min="8202" max="8202" width="7.5" style="3452" customWidth="1"/>
    <col min="8203" max="8203" width="7.875" style="3452" customWidth="1"/>
    <col min="8204" max="8204" width="11.75" style="3452" customWidth="1"/>
    <col min="8205" max="8213" width="0" style="3452" hidden="1" customWidth="1"/>
    <col min="8214" max="8214" width="13.375" style="3452" customWidth="1"/>
    <col min="8215" max="8219" width="0" style="3452" hidden="1" customWidth="1"/>
    <col min="8220" max="8220" width="9" style="3452" customWidth="1"/>
    <col min="8221" max="8226" width="0" style="3452" hidden="1" customWidth="1"/>
    <col min="8227" max="8227" width="10.625" style="3452" customWidth="1"/>
    <col min="8228" max="8229" width="0" style="3452" hidden="1" customWidth="1"/>
    <col min="8230" max="8231" width="14.375" style="3452" customWidth="1"/>
    <col min="8232" max="8233" width="0" style="3452" hidden="1" customWidth="1"/>
    <col min="8234" max="8234" width="6.25" style="3452" customWidth="1"/>
    <col min="8235" max="8239" width="0" style="3452" hidden="1" customWidth="1"/>
    <col min="8240" max="8448" width="9" style="3452"/>
    <col min="8449" max="8449" width="31.75" style="3452" customWidth="1"/>
    <col min="8450" max="8450" width="0" style="3452" hidden="1" customWidth="1"/>
    <col min="8451" max="8452" width="7.875" style="3452" customWidth="1"/>
    <col min="8453" max="8455" width="0" style="3452" hidden="1" customWidth="1"/>
    <col min="8456" max="8456" width="9.375" style="3452" customWidth="1"/>
    <col min="8457" max="8457" width="9.875" style="3452" customWidth="1"/>
    <col min="8458" max="8458" width="7.5" style="3452" customWidth="1"/>
    <col min="8459" max="8459" width="7.875" style="3452" customWidth="1"/>
    <col min="8460" max="8460" width="11.75" style="3452" customWidth="1"/>
    <col min="8461" max="8469" width="0" style="3452" hidden="1" customWidth="1"/>
    <col min="8470" max="8470" width="13.375" style="3452" customWidth="1"/>
    <col min="8471" max="8475" width="0" style="3452" hidden="1" customWidth="1"/>
    <col min="8476" max="8476" width="9" style="3452" customWidth="1"/>
    <col min="8477" max="8482" width="0" style="3452" hidden="1" customWidth="1"/>
    <col min="8483" max="8483" width="10.625" style="3452" customWidth="1"/>
    <col min="8484" max="8485" width="0" style="3452" hidden="1" customWidth="1"/>
    <col min="8486" max="8487" width="14.375" style="3452" customWidth="1"/>
    <col min="8488" max="8489" width="0" style="3452" hidden="1" customWidth="1"/>
    <col min="8490" max="8490" width="6.25" style="3452" customWidth="1"/>
    <col min="8491" max="8495" width="0" style="3452" hidden="1" customWidth="1"/>
    <col min="8496" max="8704" width="9" style="3452"/>
    <col min="8705" max="8705" width="31.75" style="3452" customWidth="1"/>
    <col min="8706" max="8706" width="0" style="3452" hidden="1" customWidth="1"/>
    <col min="8707" max="8708" width="7.875" style="3452" customWidth="1"/>
    <col min="8709" max="8711" width="0" style="3452" hidden="1" customWidth="1"/>
    <col min="8712" max="8712" width="9.375" style="3452" customWidth="1"/>
    <col min="8713" max="8713" width="9.875" style="3452" customWidth="1"/>
    <col min="8714" max="8714" width="7.5" style="3452" customWidth="1"/>
    <col min="8715" max="8715" width="7.875" style="3452" customWidth="1"/>
    <col min="8716" max="8716" width="11.75" style="3452" customWidth="1"/>
    <col min="8717" max="8725" width="0" style="3452" hidden="1" customWidth="1"/>
    <col min="8726" max="8726" width="13.375" style="3452" customWidth="1"/>
    <col min="8727" max="8731" width="0" style="3452" hidden="1" customWidth="1"/>
    <col min="8732" max="8732" width="9" style="3452" customWidth="1"/>
    <col min="8733" max="8738" width="0" style="3452" hidden="1" customWidth="1"/>
    <col min="8739" max="8739" width="10.625" style="3452" customWidth="1"/>
    <col min="8740" max="8741" width="0" style="3452" hidden="1" customWidth="1"/>
    <col min="8742" max="8743" width="14.375" style="3452" customWidth="1"/>
    <col min="8744" max="8745" width="0" style="3452" hidden="1" customWidth="1"/>
    <col min="8746" max="8746" width="6.25" style="3452" customWidth="1"/>
    <col min="8747" max="8751" width="0" style="3452" hidden="1" customWidth="1"/>
    <col min="8752" max="8960" width="9" style="3452"/>
    <col min="8961" max="8961" width="31.75" style="3452" customWidth="1"/>
    <col min="8962" max="8962" width="0" style="3452" hidden="1" customWidth="1"/>
    <col min="8963" max="8964" width="7.875" style="3452" customWidth="1"/>
    <col min="8965" max="8967" width="0" style="3452" hidden="1" customWidth="1"/>
    <col min="8968" max="8968" width="9.375" style="3452" customWidth="1"/>
    <col min="8969" max="8969" width="9.875" style="3452" customWidth="1"/>
    <col min="8970" max="8970" width="7.5" style="3452" customWidth="1"/>
    <col min="8971" max="8971" width="7.875" style="3452" customWidth="1"/>
    <col min="8972" max="8972" width="11.75" style="3452" customWidth="1"/>
    <col min="8973" max="8981" width="0" style="3452" hidden="1" customWidth="1"/>
    <col min="8982" max="8982" width="13.375" style="3452" customWidth="1"/>
    <col min="8983" max="8987" width="0" style="3452" hidden="1" customWidth="1"/>
    <col min="8988" max="8988" width="9" style="3452" customWidth="1"/>
    <col min="8989" max="8994" width="0" style="3452" hidden="1" customWidth="1"/>
    <col min="8995" max="8995" width="10.625" style="3452" customWidth="1"/>
    <col min="8996" max="8997" width="0" style="3452" hidden="1" customWidth="1"/>
    <col min="8998" max="8999" width="14.375" style="3452" customWidth="1"/>
    <col min="9000" max="9001" width="0" style="3452" hidden="1" customWidth="1"/>
    <col min="9002" max="9002" width="6.25" style="3452" customWidth="1"/>
    <col min="9003" max="9007" width="0" style="3452" hidden="1" customWidth="1"/>
    <col min="9008" max="9216" width="9" style="3452"/>
    <col min="9217" max="9217" width="31.75" style="3452" customWidth="1"/>
    <col min="9218" max="9218" width="0" style="3452" hidden="1" customWidth="1"/>
    <col min="9219" max="9220" width="7.875" style="3452" customWidth="1"/>
    <col min="9221" max="9223" width="0" style="3452" hidden="1" customWidth="1"/>
    <col min="9224" max="9224" width="9.375" style="3452" customWidth="1"/>
    <col min="9225" max="9225" width="9.875" style="3452" customWidth="1"/>
    <col min="9226" max="9226" width="7.5" style="3452" customWidth="1"/>
    <col min="9227" max="9227" width="7.875" style="3452" customWidth="1"/>
    <col min="9228" max="9228" width="11.75" style="3452" customWidth="1"/>
    <col min="9229" max="9237" width="0" style="3452" hidden="1" customWidth="1"/>
    <col min="9238" max="9238" width="13.375" style="3452" customWidth="1"/>
    <col min="9239" max="9243" width="0" style="3452" hidden="1" customWidth="1"/>
    <col min="9244" max="9244" width="9" style="3452" customWidth="1"/>
    <col min="9245" max="9250" width="0" style="3452" hidden="1" customWidth="1"/>
    <col min="9251" max="9251" width="10.625" style="3452" customWidth="1"/>
    <col min="9252" max="9253" width="0" style="3452" hidden="1" customWidth="1"/>
    <col min="9254" max="9255" width="14.375" style="3452" customWidth="1"/>
    <col min="9256" max="9257" width="0" style="3452" hidden="1" customWidth="1"/>
    <col min="9258" max="9258" width="6.25" style="3452" customWidth="1"/>
    <col min="9259" max="9263" width="0" style="3452" hidden="1" customWidth="1"/>
    <col min="9264" max="9472" width="9" style="3452"/>
    <col min="9473" max="9473" width="31.75" style="3452" customWidth="1"/>
    <col min="9474" max="9474" width="0" style="3452" hidden="1" customWidth="1"/>
    <col min="9475" max="9476" width="7.875" style="3452" customWidth="1"/>
    <col min="9477" max="9479" width="0" style="3452" hidden="1" customWidth="1"/>
    <col min="9480" max="9480" width="9.375" style="3452" customWidth="1"/>
    <col min="9481" max="9481" width="9.875" style="3452" customWidth="1"/>
    <col min="9482" max="9482" width="7.5" style="3452" customWidth="1"/>
    <col min="9483" max="9483" width="7.875" style="3452" customWidth="1"/>
    <col min="9484" max="9484" width="11.75" style="3452" customWidth="1"/>
    <col min="9485" max="9493" width="0" style="3452" hidden="1" customWidth="1"/>
    <col min="9494" max="9494" width="13.375" style="3452" customWidth="1"/>
    <col min="9495" max="9499" width="0" style="3452" hidden="1" customWidth="1"/>
    <col min="9500" max="9500" width="9" style="3452" customWidth="1"/>
    <col min="9501" max="9506" width="0" style="3452" hidden="1" customWidth="1"/>
    <col min="9507" max="9507" width="10.625" style="3452" customWidth="1"/>
    <col min="9508" max="9509" width="0" style="3452" hidden="1" customWidth="1"/>
    <col min="9510" max="9511" width="14.375" style="3452" customWidth="1"/>
    <col min="9512" max="9513" width="0" style="3452" hidden="1" customWidth="1"/>
    <col min="9514" max="9514" width="6.25" style="3452" customWidth="1"/>
    <col min="9515" max="9519" width="0" style="3452" hidden="1" customWidth="1"/>
    <col min="9520" max="9728" width="9" style="3452"/>
    <col min="9729" max="9729" width="31.75" style="3452" customWidth="1"/>
    <col min="9730" max="9730" width="0" style="3452" hidden="1" customWidth="1"/>
    <col min="9731" max="9732" width="7.875" style="3452" customWidth="1"/>
    <col min="9733" max="9735" width="0" style="3452" hidden="1" customWidth="1"/>
    <col min="9736" max="9736" width="9.375" style="3452" customWidth="1"/>
    <col min="9737" max="9737" width="9.875" style="3452" customWidth="1"/>
    <col min="9738" max="9738" width="7.5" style="3452" customWidth="1"/>
    <col min="9739" max="9739" width="7.875" style="3452" customWidth="1"/>
    <col min="9740" max="9740" width="11.75" style="3452" customWidth="1"/>
    <col min="9741" max="9749" width="0" style="3452" hidden="1" customWidth="1"/>
    <col min="9750" max="9750" width="13.375" style="3452" customWidth="1"/>
    <col min="9751" max="9755" width="0" style="3452" hidden="1" customWidth="1"/>
    <col min="9756" max="9756" width="9" style="3452" customWidth="1"/>
    <col min="9757" max="9762" width="0" style="3452" hidden="1" customWidth="1"/>
    <col min="9763" max="9763" width="10.625" style="3452" customWidth="1"/>
    <col min="9764" max="9765" width="0" style="3452" hidden="1" customWidth="1"/>
    <col min="9766" max="9767" width="14.375" style="3452" customWidth="1"/>
    <col min="9768" max="9769" width="0" style="3452" hidden="1" customWidth="1"/>
    <col min="9770" max="9770" width="6.25" style="3452" customWidth="1"/>
    <col min="9771" max="9775" width="0" style="3452" hidden="1" customWidth="1"/>
    <col min="9776" max="9984" width="9" style="3452"/>
    <col min="9985" max="9985" width="31.75" style="3452" customWidth="1"/>
    <col min="9986" max="9986" width="0" style="3452" hidden="1" customWidth="1"/>
    <col min="9987" max="9988" width="7.875" style="3452" customWidth="1"/>
    <col min="9989" max="9991" width="0" style="3452" hidden="1" customWidth="1"/>
    <col min="9992" max="9992" width="9.375" style="3452" customWidth="1"/>
    <col min="9993" max="9993" width="9.875" style="3452" customWidth="1"/>
    <col min="9994" max="9994" width="7.5" style="3452" customWidth="1"/>
    <col min="9995" max="9995" width="7.875" style="3452" customWidth="1"/>
    <col min="9996" max="9996" width="11.75" style="3452" customWidth="1"/>
    <col min="9997" max="10005" width="0" style="3452" hidden="1" customWidth="1"/>
    <col min="10006" max="10006" width="13.375" style="3452" customWidth="1"/>
    <col min="10007" max="10011" width="0" style="3452" hidden="1" customWidth="1"/>
    <col min="10012" max="10012" width="9" style="3452" customWidth="1"/>
    <col min="10013" max="10018" width="0" style="3452" hidden="1" customWidth="1"/>
    <col min="10019" max="10019" width="10.625" style="3452" customWidth="1"/>
    <col min="10020" max="10021" width="0" style="3452" hidden="1" customWidth="1"/>
    <col min="10022" max="10023" width="14.375" style="3452" customWidth="1"/>
    <col min="10024" max="10025" width="0" style="3452" hidden="1" customWidth="1"/>
    <col min="10026" max="10026" width="6.25" style="3452" customWidth="1"/>
    <col min="10027" max="10031" width="0" style="3452" hidden="1" customWidth="1"/>
    <col min="10032" max="10240" width="9" style="3452"/>
    <col min="10241" max="10241" width="31.75" style="3452" customWidth="1"/>
    <col min="10242" max="10242" width="0" style="3452" hidden="1" customWidth="1"/>
    <col min="10243" max="10244" width="7.875" style="3452" customWidth="1"/>
    <col min="10245" max="10247" width="0" style="3452" hidden="1" customWidth="1"/>
    <col min="10248" max="10248" width="9.375" style="3452" customWidth="1"/>
    <col min="10249" max="10249" width="9.875" style="3452" customWidth="1"/>
    <col min="10250" max="10250" width="7.5" style="3452" customWidth="1"/>
    <col min="10251" max="10251" width="7.875" style="3452" customWidth="1"/>
    <col min="10252" max="10252" width="11.75" style="3452" customWidth="1"/>
    <col min="10253" max="10261" width="0" style="3452" hidden="1" customWidth="1"/>
    <col min="10262" max="10262" width="13.375" style="3452" customWidth="1"/>
    <col min="10263" max="10267" width="0" style="3452" hidden="1" customWidth="1"/>
    <col min="10268" max="10268" width="9" style="3452" customWidth="1"/>
    <col min="10269" max="10274" width="0" style="3452" hidden="1" customWidth="1"/>
    <col min="10275" max="10275" width="10.625" style="3452" customWidth="1"/>
    <col min="10276" max="10277" width="0" style="3452" hidden="1" customWidth="1"/>
    <col min="10278" max="10279" width="14.375" style="3452" customWidth="1"/>
    <col min="10280" max="10281" width="0" style="3452" hidden="1" customWidth="1"/>
    <col min="10282" max="10282" width="6.25" style="3452" customWidth="1"/>
    <col min="10283" max="10287" width="0" style="3452" hidden="1" customWidth="1"/>
    <col min="10288" max="10496" width="9" style="3452"/>
    <col min="10497" max="10497" width="31.75" style="3452" customWidth="1"/>
    <col min="10498" max="10498" width="0" style="3452" hidden="1" customWidth="1"/>
    <col min="10499" max="10500" width="7.875" style="3452" customWidth="1"/>
    <col min="10501" max="10503" width="0" style="3452" hidden="1" customWidth="1"/>
    <col min="10504" max="10504" width="9.375" style="3452" customWidth="1"/>
    <col min="10505" max="10505" width="9.875" style="3452" customWidth="1"/>
    <col min="10506" max="10506" width="7.5" style="3452" customWidth="1"/>
    <col min="10507" max="10507" width="7.875" style="3452" customWidth="1"/>
    <col min="10508" max="10508" width="11.75" style="3452" customWidth="1"/>
    <col min="10509" max="10517" width="0" style="3452" hidden="1" customWidth="1"/>
    <col min="10518" max="10518" width="13.375" style="3452" customWidth="1"/>
    <col min="10519" max="10523" width="0" style="3452" hidden="1" customWidth="1"/>
    <col min="10524" max="10524" width="9" style="3452" customWidth="1"/>
    <col min="10525" max="10530" width="0" style="3452" hidden="1" customWidth="1"/>
    <col min="10531" max="10531" width="10.625" style="3452" customWidth="1"/>
    <col min="10532" max="10533" width="0" style="3452" hidden="1" customWidth="1"/>
    <col min="10534" max="10535" width="14.375" style="3452" customWidth="1"/>
    <col min="10536" max="10537" width="0" style="3452" hidden="1" customWidth="1"/>
    <col min="10538" max="10538" width="6.25" style="3452" customWidth="1"/>
    <col min="10539" max="10543" width="0" style="3452" hidden="1" customWidth="1"/>
    <col min="10544" max="10752" width="9" style="3452"/>
    <col min="10753" max="10753" width="31.75" style="3452" customWidth="1"/>
    <col min="10754" max="10754" width="0" style="3452" hidden="1" customWidth="1"/>
    <col min="10755" max="10756" width="7.875" style="3452" customWidth="1"/>
    <col min="10757" max="10759" width="0" style="3452" hidden="1" customWidth="1"/>
    <col min="10760" max="10760" width="9.375" style="3452" customWidth="1"/>
    <col min="10761" max="10761" width="9.875" style="3452" customWidth="1"/>
    <col min="10762" max="10762" width="7.5" style="3452" customWidth="1"/>
    <col min="10763" max="10763" width="7.875" style="3452" customWidth="1"/>
    <col min="10764" max="10764" width="11.75" style="3452" customWidth="1"/>
    <col min="10765" max="10773" width="0" style="3452" hidden="1" customWidth="1"/>
    <col min="10774" max="10774" width="13.375" style="3452" customWidth="1"/>
    <col min="10775" max="10779" width="0" style="3452" hidden="1" customWidth="1"/>
    <col min="10780" max="10780" width="9" style="3452" customWidth="1"/>
    <col min="10781" max="10786" width="0" style="3452" hidden="1" customWidth="1"/>
    <col min="10787" max="10787" width="10.625" style="3452" customWidth="1"/>
    <col min="10788" max="10789" width="0" style="3452" hidden="1" customWidth="1"/>
    <col min="10790" max="10791" width="14.375" style="3452" customWidth="1"/>
    <col min="10792" max="10793" width="0" style="3452" hidden="1" customWidth="1"/>
    <col min="10794" max="10794" width="6.25" style="3452" customWidth="1"/>
    <col min="10795" max="10799" width="0" style="3452" hidden="1" customWidth="1"/>
    <col min="10800" max="11008" width="9" style="3452"/>
    <col min="11009" max="11009" width="31.75" style="3452" customWidth="1"/>
    <col min="11010" max="11010" width="0" style="3452" hidden="1" customWidth="1"/>
    <col min="11011" max="11012" width="7.875" style="3452" customWidth="1"/>
    <col min="11013" max="11015" width="0" style="3452" hidden="1" customWidth="1"/>
    <col min="11016" max="11016" width="9.375" style="3452" customWidth="1"/>
    <col min="11017" max="11017" width="9.875" style="3452" customWidth="1"/>
    <col min="11018" max="11018" width="7.5" style="3452" customWidth="1"/>
    <col min="11019" max="11019" width="7.875" style="3452" customWidth="1"/>
    <col min="11020" max="11020" width="11.75" style="3452" customWidth="1"/>
    <col min="11021" max="11029" width="0" style="3452" hidden="1" customWidth="1"/>
    <col min="11030" max="11030" width="13.375" style="3452" customWidth="1"/>
    <col min="11031" max="11035" width="0" style="3452" hidden="1" customWidth="1"/>
    <col min="11036" max="11036" width="9" style="3452" customWidth="1"/>
    <col min="11037" max="11042" width="0" style="3452" hidden="1" customWidth="1"/>
    <col min="11043" max="11043" width="10.625" style="3452" customWidth="1"/>
    <col min="11044" max="11045" width="0" style="3452" hidden="1" customWidth="1"/>
    <col min="11046" max="11047" width="14.375" style="3452" customWidth="1"/>
    <col min="11048" max="11049" width="0" style="3452" hidden="1" customWidth="1"/>
    <col min="11050" max="11050" width="6.25" style="3452" customWidth="1"/>
    <col min="11051" max="11055" width="0" style="3452" hidden="1" customWidth="1"/>
    <col min="11056" max="11264" width="9" style="3452"/>
    <col min="11265" max="11265" width="31.75" style="3452" customWidth="1"/>
    <col min="11266" max="11266" width="0" style="3452" hidden="1" customWidth="1"/>
    <col min="11267" max="11268" width="7.875" style="3452" customWidth="1"/>
    <col min="11269" max="11271" width="0" style="3452" hidden="1" customWidth="1"/>
    <col min="11272" max="11272" width="9.375" style="3452" customWidth="1"/>
    <col min="11273" max="11273" width="9.875" style="3452" customWidth="1"/>
    <col min="11274" max="11274" width="7.5" style="3452" customWidth="1"/>
    <col min="11275" max="11275" width="7.875" style="3452" customWidth="1"/>
    <col min="11276" max="11276" width="11.75" style="3452" customWidth="1"/>
    <col min="11277" max="11285" width="0" style="3452" hidden="1" customWidth="1"/>
    <col min="11286" max="11286" width="13.375" style="3452" customWidth="1"/>
    <col min="11287" max="11291" width="0" style="3452" hidden="1" customWidth="1"/>
    <col min="11292" max="11292" width="9" style="3452" customWidth="1"/>
    <col min="11293" max="11298" width="0" style="3452" hidden="1" customWidth="1"/>
    <col min="11299" max="11299" width="10.625" style="3452" customWidth="1"/>
    <col min="11300" max="11301" width="0" style="3452" hidden="1" customWidth="1"/>
    <col min="11302" max="11303" width="14.375" style="3452" customWidth="1"/>
    <col min="11304" max="11305" width="0" style="3452" hidden="1" customWidth="1"/>
    <col min="11306" max="11306" width="6.25" style="3452" customWidth="1"/>
    <col min="11307" max="11311" width="0" style="3452" hidden="1" customWidth="1"/>
    <col min="11312" max="11520" width="9" style="3452"/>
    <col min="11521" max="11521" width="31.75" style="3452" customWidth="1"/>
    <col min="11522" max="11522" width="0" style="3452" hidden="1" customWidth="1"/>
    <col min="11523" max="11524" width="7.875" style="3452" customWidth="1"/>
    <col min="11525" max="11527" width="0" style="3452" hidden="1" customWidth="1"/>
    <col min="11528" max="11528" width="9.375" style="3452" customWidth="1"/>
    <col min="11529" max="11529" width="9.875" style="3452" customWidth="1"/>
    <col min="11530" max="11530" width="7.5" style="3452" customWidth="1"/>
    <col min="11531" max="11531" width="7.875" style="3452" customWidth="1"/>
    <col min="11532" max="11532" width="11.75" style="3452" customWidth="1"/>
    <col min="11533" max="11541" width="0" style="3452" hidden="1" customWidth="1"/>
    <col min="11542" max="11542" width="13.375" style="3452" customWidth="1"/>
    <col min="11543" max="11547" width="0" style="3452" hidden="1" customWidth="1"/>
    <col min="11548" max="11548" width="9" style="3452" customWidth="1"/>
    <col min="11549" max="11554" width="0" style="3452" hidden="1" customWidth="1"/>
    <col min="11555" max="11555" width="10.625" style="3452" customWidth="1"/>
    <col min="11556" max="11557" width="0" style="3452" hidden="1" customWidth="1"/>
    <col min="11558" max="11559" width="14.375" style="3452" customWidth="1"/>
    <col min="11560" max="11561" width="0" style="3452" hidden="1" customWidth="1"/>
    <col min="11562" max="11562" width="6.25" style="3452" customWidth="1"/>
    <col min="11563" max="11567" width="0" style="3452" hidden="1" customWidth="1"/>
    <col min="11568" max="11776" width="9" style="3452"/>
    <col min="11777" max="11777" width="31.75" style="3452" customWidth="1"/>
    <col min="11778" max="11778" width="0" style="3452" hidden="1" customWidth="1"/>
    <col min="11779" max="11780" width="7.875" style="3452" customWidth="1"/>
    <col min="11781" max="11783" width="0" style="3452" hidden="1" customWidth="1"/>
    <col min="11784" max="11784" width="9.375" style="3452" customWidth="1"/>
    <col min="11785" max="11785" width="9.875" style="3452" customWidth="1"/>
    <col min="11786" max="11786" width="7.5" style="3452" customWidth="1"/>
    <col min="11787" max="11787" width="7.875" style="3452" customWidth="1"/>
    <col min="11788" max="11788" width="11.75" style="3452" customWidth="1"/>
    <col min="11789" max="11797" width="0" style="3452" hidden="1" customWidth="1"/>
    <col min="11798" max="11798" width="13.375" style="3452" customWidth="1"/>
    <col min="11799" max="11803" width="0" style="3452" hidden="1" customWidth="1"/>
    <col min="11804" max="11804" width="9" style="3452" customWidth="1"/>
    <col min="11805" max="11810" width="0" style="3452" hidden="1" customWidth="1"/>
    <col min="11811" max="11811" width="10.625" style="3452" customWidth="1"/>
    <col min="11812" max="11813" width="0" style="3452" hidden="1" customWidth="1"/>
    <col min="11814" max="11815" width="14.375" style="3452" customWidth="1"/>
    <col min="11816" max="11817" width="0" style="3452" hidden="1" customWidth="1"/>
    <col min="11818" max="11818" width="6.25" style="3452" customWidth="1"/>
    <col min="11819" max="11823" width="0" style="3452" hidden="1" customWidth="1"/>
    <col min="11824" max="12032" width="9" style="3452"/>
    <col min="12033" max="12033" width="31.75" style="3452" customWidth="1"/>
    <col min="12034" max="12034" width="0" style="3452" hidden="1" customWidth="1"/>
    <col min="12035" max="12036" width="7.875" style="3452" customWidth="1"/>
    <col min="12037" max="12039" width="0" style="3452" hidden="1" customWidth="1"/>
    <col min="12040" max="12040" width="9.375" style="3452" customWidth="1"/>
    <col min="12041" max="12041" width="9.875" style="3452" customWidth="1"/>
    <col min="12042" max="12042" width="7.5" style="3452" customWidth="1"/>
    <col min="12043" max="12043" width="7.875" style="3452" customWidth="1"/>
    <col min="12044" max="12044" width="11.75" style="3452" customWidth="1"/>
    <col min="12045" max="12053" width="0" style="3452" hidden="1" customWidth="1"/>
    <col min="12054" max="12054" width="13.375" style="3452" customWidth="1"/>
    <col min="12055" max="12059" width="0" style="3452" hidden="1" customWidth="1"/>
    <col min="12060" max="12060" width="9" style="3452" customWidth="1"/>
    <col min="12061" max="12066" width="0" style="3452" hidden="1" customWidth="1"/>
    <col min="12067" max="12067" width="10.625" style="3452" customWidth="1"/>
    <col min="12068" max="12069" width="0" style="3452" hidden="1" customWidth="1"/>
    <col min="12070" max="12071" width="14.375" style="3452" customWidth="1"/>
    <col min="12072" max="12073" width="0" style="3452" hidden="1" customWidth="1"/>
    <col min="12074" max="12074" width="6.25" style="3452" customWidth="1"/>
    <col min="12075" max="12079" width="0" style="3452" hidden="1" customWidth="1"/>
    <col min="12080" max="12288" width="9" style="3452"/>
    <col min="12289" max="12289" width="31.75" style="3452" customWidth="1"/>
    <col min="12290" max="12290" width="0" style="3452" hidden="1" customWidth="1"/>
    <col min="12291" max="12292" width="7.875" style="3452" customWidth="1"/>
    <col min="12293" max="12295" width="0" style="3452" hidden="1" customWidth="1"/>
    <col min="12296" max="12296" width="9.375" style="3452" customWidth="1"/>
    <col min="12297" max="12297" width="9.875" style="3452" customWidth="1"/>
    <col min="12298" max="12298" width="7.5" style="3452" customWidth="1"/>
    <col min="12299" max="12299" width="7.875" style="3452" customWidth="1"/>
    <col min="12300" max="12300" width="11.75" style="3452" customWidth="1"/>
    <col min="12301" max="12309" width="0" style="3452" hidden="1" customWidth="1"/>
    <col min="12310" max="12310" width="13.375" style="3452" customWidth="1"/>
    <col min="12311" max="12315" width="0" style="3452" hidden="1" customWidth="1"/>
    <col min="12316" max="12316" width="9" style="3452" customWidth="1"/>
    <col min="12317" max="12322" width="0" style="3452" hidden="1" customWidth="1"/>
    <col min="12323" max="12323" width="10.625" style="3452" customWidth="1"/>
    <col min="12324" max="12325" width="0" style="3452" hidden="1" customWidth="1"/>
    <col min="12326" max="12327" width="14.375" style="3452" customWidth="1"/>
    <col min="12328" max="12329" width="0" style="3452" hidden="1" customWidth="1"/>
    <col min="12330" max="12330" width="6.25" style="3452" customWidth="1"/>
    <col min="12331" max="12335" width="0" style="3452" hidden="1" customWidth="1"/>
    <col min="12336" max="12544" width="9" style="3452"/>
    <col min="12545" max="12545" width="31.75" style="3452" customWidth="1"/>
    <col min="12546" max="12546" width="0" style="3452" hidden="1" customWidth="1"/>
    <col min="12547" max="12548" width="7.875" style="3452" customWidth="1"/>
    <col min="12549" max="12551" width="0" style="3452" hidden="1" customWidth="1"/>
    <col min="12552" max="12552" width="9.375" style="3452" customWidth="1"/>
    <col min="12553" max="12553" width="9.875" style="3452" customWidth="1"/>
    <col min="12554" max="12554" width="7.5" style="3452" customWidth="1"/>
    <col min="12555" max="12555" width="7.875" style="3452" customWidth="1"/>
    <col min="12556" max="12556" width="11.75" style="3452" customWidth="1"/>
    <col min="12557" max="12565" width="0" style="3452" hidden="1" customWidth="1"/>
    <col min="12566" max="12566" width="13.375" style="3452" customWidth="1"/>
    <col min="12567" max="12571" width="0" style="3452" hidden="1" customWidth="1"/>
    <col min="12572" max="12572" width="9" style="3452" customWidth="1"/>
    <col min="12573" max="12578" width="0" style="3452" hidden="1" customWidth="1"/>
    <col min="12579" max="12579" width="10.625" style="3452" customWidth="1"/>
    <col min="12580" max="12581" width="0" style="3452" hidden="1" customWidth="1"/>
    <col min="12582" max="12583" width="14.375" style="3452" customWidth="1"/>
    <col min="12584" max="12585" width="0" style="3452" hidden="1" customWidth="1"/>
    <col min="12586" max="12586" width="6.25" style="3452" customWidth="1"/>
    <col min="12587" max="12591" width="0" style="3452" hidden="1" customWidth="1"/>
    <col min="12592" max="12800" width="9" style="3452"/>
    <col min="12801" max="12801" width="31.75" style="3452" customWidth="1"/>
    <col min="12802" max="12802" width="0" style="3452" hidden="1" customWidth="1"/>
    <col min="12803" max="12804" width="7.875" style="3452" customWidth="1"/>
    <col min="12805" max="12807" width="0" style="3452" hidden="1" customWidth="1"/>
    <col min="12808" max="12808" width="9.375" style="3452" customWidth="1"/>
    <col min="12809" max="12809" width="9.875" style="3452" customWidth="1"/>
    <col min="12810" max="12810" width="7.5" style="3452" customWidth="1"/>
    <col min="12811" max="12811" width="7.875" style="3452" customWidth="1"/>
    <col min="12812" max="12812" width="11.75" style="3452" customWidth="1"/>
    <col min="12813" max="12821" width="0" style="3452" hidden="1" customWidth="1"/>
    <col min="12822" max="12822" width="13.375" style="3452" customWidth="1"/>
    <col min="12823" max="12827" width="0" style="3452" hidden="1" customWidth="1"/>
    <col min="12828" max="12828" width="9" style="3452" customWidth="1"/>
    <col min="12829" max="12834" width="0" style="3452" hidden="1" customWidth="1"/>
    <col min="12835" max="12835" width="10.625" style="3452" customWidth="1"/>
    <col min="12836" max="12837" width="0" style="3452" hidden="1" customWidth="1"/>
    <col min="12838" max="12839" width="14.375" style="3452" customWidth="1"/>
    <col min="12840" max="12841" width="0" style="3452" hidden="1" customWidth="1"/>
    <col min="12842" max="12842" width="6.25" style="3452" customWidth="1"/>
    <col min="12843" max="12847" width="0" style="3452" hidden="1" customWidth="1"/>
    <col min="12848" max="13056" width="9" style="3452"/>
    <col min="13057" max="13057" width="31.75" style="3452" customWidth="1"/>
    <col min="13058" max="13058" width="0" style="3452" hidden="1" customWidth="1"/>
    <col min="13059" max="13060" width="7.875" style="3452" customWidth="1"/>
    <col min="13061" max="13063" width="0" style="3452" hidden="1" customWidth="1"/>
    <col min="13064" max="13064" width="9.375" style="3452" customWidth="1"/>
    <col min="13065" max="13065" width="9.875" style="3452" customWidth="1"/>
    <col min="13066" max="13066" width="7.5" style="3452" customWidth="1"/>
    <col min="13067" max="13067" width="7.875" style="3452" customWidth="1"/>
    <col min="13068" max="13068" width="11.75" style="3452" customWidth="1"/>
    <col min="13069" max="13077" width="0" style="3452" hidden="1" customWidth="1"/>
    <col min="13078" max="13078" width="13.375" style="3452" customWidth="1"/>
    <col min="13079" max="13083" width="0" style="3452" hidden="1" customWidth="1"/>
    <col min="13084" max="13084" width="9" style="3452" customWidth="1"/>
    <col min="13085" max="13090" width="0" style="3452" hidden="1" customWidth="1"/>
    <col min="13091" max="13091" width="10.625" style="3452" customWidth="1"/>
    <col min="13092" max="13093" width="0" style="3452" hidden="1" customWidth="1"/>
    <col min="13094" max="13095" width="14.375" style="3452" customWidth="1"/>
    <col min="13096" max="13097" width="0" style="3452" hidden="1" customWidth="1"/>
    <col min="13098" max="13098" width="6.25" style="3452" customWidth="1"/>
    <col min="13099" max="13103" width="0" style="3452" hidden="1" customWidth="1"/>
    <col min="13104" max="13312" width="9" style="3452"/>
    <col min="13313" max="13313" width="31.75" style="3452" customWidth="1"/>
    <col min="13314" max="13314" width="0" style="3452" hidden="1" customWidth="1"/>
    <col min="13315" max="13316" width="7.875" style="3452" customWidth="1"/>
    <col min="13317" max="13319" width="0" style="3452" hidden="1" customWidth="1"/>
    <col min="13320" max="13320" width="9.375" style="3452" customWidth="1"/>
    <col min="13321" max="13321" width="9.875" style="3452" customWidth="1"/>
    <col min="13322" max="13322" width="7.5" style="3452" customWidth="1"/>
    <col min="13323" max="13323" width="7.875" style="3452" customWidth="1"/>
    <col min="13324" max="13324" width="11.75" style="3452" customWidth="1"/>
    <col min="13325" max="13333" width="0" style="3452" hidden="1" customWidth="1"/>
    <col min="13334" max="13334" width="13.375" style="3452" customWidth="1"/>
    <col min="13335" max="13339" width="0" style="3452" hidden="1" customWidth="1"/>
    <col min="13340" max="13340" width="9" style="3452" customWidth="1"/>
    <col min="13341" max="13346" width="0" style="3452" hidden="1" customWidth="1"/>
    <col min="13347" max="13347" width="10.625" style="3452" customWidth="1"/>
    <col min="13348" max="13349" width="0" style="3452" hidden="1" customWidth="1"/>
    <col min="13350" max="13351" width="14.375" style="3452" customWidth="1"/>
    <col min="13352" max="13353" width="0" style="3452" hidden="1" customWidth="1"/>
    <col min="13354" max="13354" width="6.25" style="3452" customWidth="1"/>
    <col min="13355" max="13359" width="0" style="3452" hidden="1" customWidth="1"/>
    <col min="13360" max="13568" width="9" style="3452"/>
    <col min="13569" max="13569" width="31.75" style="3452" customWidth="1"/>
    <col min="13570" max="13570" width="0" style="3452" hidden="1" customWidth="1"/>
    <col min="13571" max="13572" width="7.875" style="3452" customWidth="1"/>
    <col min="13573" max="13575" width="0" style="3452" hidden="1" customWidth="1"/>
    <col min="13576" max="13576" width="9.375" style="3452" customWidth="1"/>
    <col min="13577" max="13577" width="9.875" style="3452" customWidth="1"/>
    <col min="13578" max="13578" width="7.5" style="3452" customWidth="1"/>
    <col min="13579" max="13579" width="7.875" style="3452" customWidth="1"/>
    <col min="13580" max="13580" width="11.75" style="3452" customWidth="1"/>
    <col min="13581" max="13589" width="0" style="3452" hidden="1" customWidth="1"/>
    <col min="13590" max="13590" width="13.375" style="3452" customWidth="1"/>
    <col min="13591" max="13595" width="0" style="3452" hidden="1" customWidth="1"/>
    <col min="13596" max="13596" width="9" style="3452" customWidth="1"/>
    <col min="13597" max="13602" width="0" style="3452" hidden="1" customWidth="1"/>
    <col min="13603" max="13603" width="10.625" style="3452" customWidth="1"/>
    <col min="13604" max="13605" width="0" style="3452" hidden="1" customWidth="1"/>
    <col min="13606" max="13607" width="14.375" style="3452" customWidth="1"/>
    <col min="13608" max="13609" width="0" style="3452" hidden="1" customWidth="1"/>
    <col min="13610" max="13610" width="6.25" style="3452" customWidth="1"/>
    <col min="13611" max="13615" width="0" style="3452" hidden="1" customWidth="1"/>
    <col min="13616" max="13824" width="9" style="3452"/>
    <col min="13825" max="13825" width="31.75" style="3452" customWidth="1"/>
    <col min="13826" max="13826" width="0" style="3452" hidden="1" customWidth="1"/>
    <col min="13827" max="13828" width="7.875" style="3452" customWidth="1"/>
    <col min="13829" max="13831" width="0" style="3452" hidden="1" customWidth="1"/>
    <col min="13832" max="13832" width="9.375" style="3452" customWidth="1"/>
    <col min="13833" max="13833" width="9.875" style="3452" customWidth="1"/>
    <col min="13834" max="13834" width="7.5" style="3452" customWidth="1"/>
    <col min="13835" max="13835" width="7.875" style="3452" customWidth="1"/>
    <col min="13836" max="13836" width="11.75" style="3452" customWidth="1"/>
    <col min="13837" max="13845" width="0" style="3452" hidden="1" customWidth="1"/>
    <col min="13846" max="13846" width="13.375" style="3452" customWidth="1"/>
    <col min="13847" max="13851" width="0" style="3452" hidden="1" customWidth="1"/>
    <col min="13852" max="13852" width="9" style="3452" customWidth="1"/>
    <col min="13853" max="13858" width="0" style="3452" hidden="1" customWidth="1"/>
    <col min="13859" max="13859" width="10.625" style="3452" customWidth="1"/>
    <col min="13860" max="13861" width="0" style="3452" hidden="1" customWidth="1"/>
    <col min="13862" max="13863" width="14.375" style="3452" customWidth="1"/>
    <col min="13864" max="13865" width="0" style="3452" hidden="1" customWidth="1"/>
    <col min="13866" max="13866" width="6.25" style="3452" customWidth="1"/>
    <col min="13867" max="13871" width="0" style="3452" hidden="1" customWidth="1"/>
    <col min="13872" max="14080" width="9" style="3452"/>
    <col min="14081" max="14081" width="31.75" style="3452" customWidth="1"/>
    <col min="14082" max="14082" width="0" style="3452" hidden="1" customWidth="1"/>
    <col min="14083" max="14084" width="7.875" style="3452" customWidth="1"/>
    <col min="14085" max="14087" width="0" style="3452" hidden="1" customWidth="1"/>
    <col min="14088" max="14088" width="9.375" style="3452" customWidth="1"/>
    <col min="14089" max="14089" width="9.875" style="3452" customWidth="1"/>
    <col min="14090" max="14090" width="7.5" style="3452" customWidth="1"/>
    <col min="14091" max="14091" width="7.875" style="3452" customWidth="1"/>
    <col min="14092" max="14092" width="11.75" style="3452" customWidth="1"/>
    <col min="14093" max="14101" width="0" style="3452" hidden="1" customWidth="1"/>
    <col min="14102" max="14102" width="13.375" style="3452" customWidth="1"/>
    <col min="14103" max="14107" width="0" style="3452" hidden="1" customWidth="1"/>
    <col min="14108" max="14108" width="9" style="3452" customWidth="1"/>
    <col min="14109" max="14114" width="0" style="3452" hidden="1" customWidth="1"/>
    <col min="14115" max="14115" width="10.625" style="3452" customWidth="1"/>
    <col min="14116" max="14117" width="0" style="3452" hidden="1" customWidth="1"/>
    <col min="14118" max="14119" width="14.375" style="3452" customWidth="1"/>
    <col min="14120" max="14121" width="0" style="3452" hidden="1" customWidth="1"/>
    <col min="14122" max="14122" width="6.25" style="3452" customWidth="1"/>
    <col min="14123" max="14127" width="0" style="3452" hidden="1" customWidth="1"/>
    <col min="14128" max="14336" width="9" style="3452"/>
    <col min="14337" max="14337" width="31.75" style="3452" customWidth="1"/>
    <col min="14338" max="14338" width="0" style="3452" hidden="1" customWidth="1"/>
    <col min="14339" max="14340" width="7.875" style="3452" customWidth="1"/>
    <col min="14341" max="14343" width="0" style="3452" hidden="1" customWidth="1"/>
    <col min="14344" max="14344" width="9.375" style="3452" customWidth="1"/>
    <col min="14345" max="14345" width="9.875" style="3452" customWidth="1"/>
    <col min="14346" max="14346" width="7.5" style="3452" customWidth="1"/>
    <col min="14347" max="14347" width="7.875" style="3452" customWidth="1"/>
    <col min="14348" max="14348" width="11.75" style="3452" customWidth="1"/>
    <col min="14349" max="14357" width="0" style="3452" hidden="1" customWidth="1"/>
    <col min="14358" max="14358" width="13.375" style="3452" customWidth="1"/>
    <col min="14359" max="14363" width="0" style="3452" hidden="1" customWidth="1"/>
    <col min="14364" max="14364" width="9" style="3452" customWidth="1"/>
    <col min="14365" max="14370" width="0" style="3452" hidden="1" customWidth="1"/>
    <col min="14371" max="14371" width="10.625" style="3452" customWidth="1"/>
    <col min="14372" max="14373" width="0" style="3452" hidden="1" customWidth="1"/>
    <col min="14374" max="14375" width="14.375" style="3452" customWidth="1"/>
    <col min="14376" max="14377" width="0" style="3452" hidden="1" customWidth="1"/>
    <col min="14378" max="14378" width="6.25" style="3452" customWidth="1"/>
    <col min="14379" max="14383" width="0" style="3452" hidden="1" customWidth="1"/>
    <col min="14384" max="14592" width="9" style="3452"/>
    <col min="14593" max="14593" width="31.75" style="3452" customWidth="1"/>
    <col min="14594" max="14594" width="0" style="3452" hidden="1" customWidth="1"/>
    <col min="14595" max="14596" width="7.875" style="3452" customWidth="1"/>
    <col min="14597" max="14599" width="0" style="3452" hidden="1" customWidth="1"/>
    <col min="14600" max="14600" width="9.375" style="3452" customWidth="1"/>
    <col min="14601" max="14601" width="9.875" style="3452" customWidth="1"/>
    <col min="14602" max="14602" width="7.5" style="3452" customWidth="1"/>
    <col min="14603" max="14603" width="7.875" style="3452" customWidth="1"/>
    <col min="14604" max="14604" width="11.75" style="3452" customWidth="1"/>
    <col min="14605" max="14613" width="0" style="3452" hidden="1" customWidth="1"/>
    <col min="14614" max="14614" width="13.375" style="3452" customWidth="1"/>
    <col min="14615" max="14619" width="0" style="3452" hidden="1" customWidth="1"/>
    <col min="14620" max="14620" width="9" style="3452" customWidth="1"/>
    <col min="14621" max="14626" width="0" style="3452" hidden="1" customWidth="1"/>
    <col min="14627" max="14627" width="10.625" style="3452" customWidth="1"/>
    <col min="14628" max="14629" width="0" style="3452" hidden="1" customWidth="1"/>
    <col min="14630" max="14631" width="14.375" style="3452" customWidth="1"/>
    <col min="14632" max="14633" width="0" style="3452" hidden="1" customWidth="1"/>
    <col min="14634" max="14634" width="6.25" style="3452" customWidth="1"/>
    <col min="14635" max="14639" width="0" style="3452" hidden="1" customWidth="1"/>
    <col min="14640" max="14848" width="9" style="3452"/>
    <col min="14849" max="14849" width="31.75" style="3452" customWidth="1"/>
    <col min="14850" max="14850" width="0" style="3452" hidden="1" customWidth="1"/>
    <col min="14851" max="14852" width="7.875" style="3452" customWidth="1"/>
    <col min="14853" max="14855" width="0" style="3452" hidden="1" customWidth="1"/>
    <col min="14856" max="14856" width="9.375" style="3452" customWidth="1"/>
    <col min="14857" max="14857" width="9.875" style="3452" customWidth="1"/>
    <col min="14858" max="14858" width="7.5" style="3452" customWidth="1"/>
    <col min="14859" max="14859" width="7.875" style="3452" customWidth="1"/>
    <col min="14860" max="14860" width="11.75" style="3452" customWidth="1"/>
    <col min="14861" max="14869" width="0" style="3452" hidden="1" customWidth="1"/>
    <col min="14870" max="14870" width="13.375" style="3452" customWidth="1"/>
    <col min="14871" max="14875" width="0" style="3452" hidden="1" customWidth="1"/>
    <col min="14876" max="14876" width="9" style="3452" customWidth="1"/>
    <col min="14877" max="14882" width="0" style="3452" hidden="1" customWidth="1"/>
    <col min="14883" max="14883" width="10.625" style="3452" customWidth="1"/>
    <col min="14884" max="14885" width="0" style="3452" hidden="1" customWidth="1"/>
    <col min="14886" max="14887" width="14.375" style="3452" customWidth="1"/>
    <col min="14888" max="14889" width="0" style="3452" hidden="1" customWidth="1"/>
    <col min="14890" max="14890" width="6.25" style="3452" customWidth="1"/>
    <col min="14891" max="14895" width="0" style="3452" hidden="1" customWidth="1"/>
    <col min="14896" max="15104" width="9" style="3452"/>
    <col min="15105" max="15105" width="31.75" style="3452" customWidth="1"/>
    <col min="15106" max="15106" width="0" style="3452" hidden="1" customWidth="1"/>
    <col min="15107" max="15108" width="7.875" style="3452" customWidth="1"/>
    <col min="15109" max="15111" width="0" style="3452" hidden="1" customWidth="1"/>
    <col min="15112" max="15112" width="9.375" style="3452" customWidth="1"/>
    <col min="15113" max="15113" width="9.875" style="3452" customWidth="1"/>
    <col min="15114" max="15114" width="7.5" style="3452" customWidth="1"/>
    <col min="15115" max="15115" width="7.875" style="3452" customWidth="1"/>
    <col min="15116" max="15116" width="11.75" style="3452" customWidth="1"/>
    <col min="15117" max="15125" width="0" style="3452" hidden="1" customWidth="1"/>
    <col min="15126" max="15126" width="13.375" style="3452" customWidth="1"/>
    <col min="15127" max="15131" width="0" style="3452" hidden="1" customWidth="1"/>
    <col min="15132" max="15132" width="9" style="3452" customWidth="1"/>
    <col min="15133" max="15138" width="0" style="3452" hidden="1" customWidth="1"/>
    <col min="15139" max="15139" width="10.625" style="3452" customWidth="1"/>
    <col min="15140" max="15141" width="0" style="3452" hidden="1" customWidth="1"/>
    <col min="15142" max="15143" width="14.375" style="3452" customWidth="1"/>
    <col min="15144" max="15145" width="0" style="3452" hidden="1" customWidth="1"/>
    <col min="15146" max="15146" width="6.25" style="3452" customWidth="1"/>
    <col min="15147" max="15151" width="0" style="3452" hidden="1" customWidth="1"/>
    <col min="15152" max="15360" width="9" style="3452"/>
    <col min="15361" max="15361" width="31.75" style="3452" customWidth="1"/>
    <col min="15362" max="15362" width="0" style="3452" hidden="1" customWidth="1"/>
    <col min="15363" max="15364" width="7.875" style="3452" customWidth="1"/>
    <col min="15365" max="15367" width="0" style="3452" hidden="1" customWidth="1"/>
    <col min="15368" max="15368" width="9.375" style="3452" customWidth="1"/>
    <col min="15369" max="15369" width="9.875" style="3452" customWidth="1"/>
    <col min="15370" max="15370" width="7.5" style="3452" customWidth="1"/>
    <col min="15371" max="15371" width="7.875" style="3452" customWidth="1"/>
    <col min="15372" max="15372" width="11.75" style="3452" customWidth="1"/>
    <col min="15373" max="15381" width="0" style="3452" hidden="1" customWidth="1"/>
    <col min="15382" max="15382" width="13.375" style="3452" customWidth="1"/>
    <col min="15383" max="15387" width="0" style="3452" hidden="1" customWidth="1"/>
    <col min="15388" max="15388" width="9" style="3452" customWidth="1"/>
    <col min="15389" max="15394" width="0" style="3452" hidden="1" customWidth="1"/>
    <col min="15395" max="15395" width="10.625" style="3452" customWidth="1"/>
    <col min="15396" max="15397" width="0" style="3452" hidden="1" customWidth="1"/>
    <col min="15398" max="15399" width="14.375" style="3452" customWidth="1"/>
    <col min="15400" max="15401" width="0" style="3452" hidden="1" customWidth="1"/>
    <col min="15402" max="15402" width="6.25" style="3452" customWidth="1"/>
    <col min="15403" max="15407" width="0" style="3452" hidden="1" customWidth="1"/>
    <col min="15408" max="15616" width="9" style="3452"/>
    <col min="15617" max="15617" width="31.75" style="3452" customWidth="1"/>
    <col min="15618" max="15618" width="0" style="3452" hidden="1" customWidth="1"/>
    <col min="15619" max="15620" width="7.875" style="3452" customWidth="1"/>
    <col min="15621" max="15623" width="0" style="3452" hidden="1" customWidth="1"/>
    <col min="15624" max="15624" width="9.375" style="3452" customWidth="1"/>
    <col min="15625" max="15625" width="9.875" style="3452" customWidth="1"/>
    <col min="15626" max="15626" width="7.5" style="3452" customWidth="1"/>
    <col min="15627" max="15627" width="7.875" style="3452" customWidth="1"/>
    <col min="15628" max="15628" width="11.75" style="3452" customWidth="1"/>
    <col min="15629" max="15637" width="0" style="3452" hidden="1" customWidth="1"/>
    <col min="15638" max="15638" width="13.375" style="3452" customWidth="1"/>
    <col min="15639" max="15643" width="0" style="3452" hidden="1" customWidth="1"/>
    <col min="15644" max="15644" width="9" style="3452" customWidth="1"/>
    <col min="15645" max="15650" width="0" style="3452" hidden="1" customWidth="1"/>
    <col min="15651" max="15651" width="10.625" style="3452" customWidth="1"/>
    <col min="15652" max="15653" width="0" style="3452" hidden="1" customWidth="1"/>
    <col min="15654" max="15655" width="14.375" style="3452" customWidth="1"/>
    <col min="15656" max="15657" width="0" style="3452" hidden="1" customWidth="1"/>
    <col min="15658" max="15658" width="6.25" style="3452" customWidth="1"/>
    <col min="15659" max="15663" width="0" style="3452" hidden="1" customWidth="1"/>
    <col min="15664" max="15872" width="9" style="3452"/>
    <col min="15873" max="15873" width="31.75" style="3452" customWidth="1"/>
    <col min="15874" max="15874" width="0" style="3452" hidden="1" customWidth="1"/>
    <col min="15875" max="15876" width="7.875" style="3452" customWidth="1"/>
    <col min="15877" max="15879" width="0" style="3452" hidden="1" customWidth="1"/>
    <col min="15880" max="15880" width="9.375" style="3452" customWidth="1"/>
    <col min="15881" max="15881" width="9.875" style="3452" customWidth="1"/>
    <col min="15882" max="15882" width="7.5" style="3452" customWidth="1"/>
    <col min="15883" max="15883" width="7.875" style="3452" customWidth="1"/>
    <col min="15884" max="15884" width="11.75" style="3452" customWidth="1"/>
    <col min="15885" max="15893" width="0" style="3452" hidden="1" customWidth="1"/>
    <col min="15894" max="15894" width="13.375" style="3452" customWidth="1"/>
    <col min="15895" max="15899" width="0" style="3452" hidden="1" customWidth="1"/>
    <col min="15900" max="15900" width="9" style="3452" customWidth="1"/>
    <col min="15901" max="15906" width="0" style="3452" hidden="1" customWidth="1"/>
    <col min="15907" max="15907" width="10.625" style="3452" customWidth="1"/>
    <col min="15908" max="15909" width="0" style="3452" hidden="1" customWidth="1"/>
    <col min="15910" max="15911" width="14.375" style="3452" customWidth="1"/>
    <col min="15912" max="15913" width="0" style="3452" hidden="1" customWidth="1"/>
    <col min="15914" max="15914" width="6.25" style="3452" customWidth="1"/>
    <col min="15915" max="15919" width="0" style="3452" hidden="1" customWidth="1"/>
    <col min="15920" max="16128" width="9" style="3452"/>
    <col min="16129" max="16129" width="31.75" style="3452" customWidth="1"/>
    <col min="16130" max="16130" width="0" style="3452" hidden="1" customWidth="1"/>
    <col min="16131" max="16132" width="7.875" style="3452" customWidth="1"/>
    <col min="16133" max="16135" width="0" style="3452" hidden="1" customWidth="1"/>
    <col min="16136" max="16136" width="9.375" style="3452" customWidth="1"/>
    <col min="16137" max="16137" width="9.875" style="3452" customWidth="1"/>
    <col min="16138" max="16138" width="7.5" style="3452" customWidth="1"/>
    <col min="16139" max="16139" width="7.875" style="3452" customWidth="1"/>
    <col min="16140" max="16140" width="11.75" style="3452" customWidth="1"/>
    <col min="16141" max="16149" width="0" style="3452" hidden="1" customWidth="1"/>
    <col min="16150" max="16150" width="13.375" style="3452" customWidth="1"/>
    <col min="16151" max="16155" width="0" style="3452" hidden="1" customWidth="1"/>
    <col min="16156" max="16156" width="9" style="3452" customWidth="1"/>
    <col min="16157" max="16162" width="0" style="3452" hidden="1" customWidth="1"/>
    <col min="16163" max="16163" width="10.625" style="3452" customWidth="1"/>
    <col min="16164" max="16165" width="0" style="3452" hidden="1" customWidth="1"/>
    <col min="16166" max="16167" width="14.375" style="3452" customWidth="1"/>
    <col min="16168" max="16169" width="0" style="3452" hidden="1" customWidth="1"/>
    <col min="16170" max="16170" width="6.25" style="3452" customWidth="1"/>
    <col min="16171" max="16175" width="0" style="3452" hidden="1" customWidth="1"/>
    <col min="16176" max="16384" width="9" style="3452"/>
  </cols>
  <sheetData>
    <row r="1" spans="1:47">
      <c r="A1" s="3452" t="s">
        <v>3439</v>
      </c>
      <c r="B1" s="3452" t="s">
        <v>3440</v>
      </c>
      <c r="C1" s="3452" t="s">
        <v>3441</v>
      </c>
      <c r="D1" s="3452" t="s">
        <v>3442</v>
      </c>
      <c r="E1" s="3452" t="s">
        <v>3443</v>
      </c>
      <c r="F1" s="3452" t="s">
        <v>3444</v>
      </c>
      <c r="G1" s="3452" t="s">
        <v>3445</v>
      </c>
      <c r="H1" s="3452" t="s">
        <v>3446</v>
      </c>
      <c r="I1" s="3452" t="s">
        <v>3447</v>
      </c>
      <c r="J1" s="3452" t="s">
        <v>3448</v>
      </c>
      <c r="K1" s="3452" t="s">
        <v>3449</v>
      </c>
      <c r="L1" s="3452" t="s">
        <v>3450</v>
      </c>
      <c r="M1" s="3452" t="s">
        <v>3451</v>
      </c>
      <c r="N1" s="3452" t="s">
        <v>3452</v>
      </c>
      <c r="O1" s="3452" t="s">
        <v>3453</v>
      </c>
      <c r="P1" s="3452" t="s">
        <v>3454</v>
      </c>
      <c r="Q1" s="3452" t="s">
        <v>3455</v>
      </c>
      <c r="R1" s="3452" t="s">
        <v>3456</v>
      </c>
      <c r="S1" s="3452" t="s">
        <v>3457</v>
      </c>
      <c r="T1" s="3452" t="s">
        <v>3458</v>
      </c>
      <c r="U1" s="3452" t="s">
        <v>3459</v>
      </c>
      <c r="V1" s="3452" t="s">
        <v>3460</v>
      </c>
      <c r="W1" s="3452" t="s">
        <v>3461</v>
      </c>
      <c r="X1" s="3452" t="s">
        <v>3462</v>
      </c>
      <c r="Y1" s="3452" t="s">
        <v>3463</v>
      </c>
      <c r="Z1" s="3452" t="s">
        <v>3464</v>
      </c>
      <c r="AA1" s="3452" t="s">
        <v>3465</v>
      </c>
      <c r="AB1" s="3452" t="s">
        <v>3466</v>
      </c>
      <c r="AC1" s="3452" t="s">
        <v>3467</v>
      </c>
      <c r="AD1" s="3452" t="s">
        <v>3468</v>
      </c>
      <c r="AE1" s="3452" t="s">
        <v>3469</v>
      </c>
      <c r="AF1" s="3452" t="s">
        <v>3470</v>
      </c>
      <c r="AG1" s="3452" t="s">
        <v>3471</v>
      </c>
      <c r="AH1" s="3452" t="s">
        <v>3472</v>
      </c>
      <c r="AI1" s="3452" t="s">
        <v>3473</v>
      </c>
      <c r="AJ1" s="3452" t="s">
        <v>3474</v>
      </c>
      <c r="AK1" s="3452" t="s">
        <v>3475</v>
      </c>
      <c r="AL1" s="3452" t="s">
        <v>3476</v>
      </c>
      <c r="AM1" s="3452" t="s">
        <v>3477</v>
      </c>
      <c r="AN1" s="3452" t="s">
        <v>3478</v>
      </c>
      <c r="AO1" s="3452" t="s">
        <v>3479</v>
      </c>
      <c r="AP1" s="3452" t="s">
        <v>3480</v>
      </c>
      <c r="AQ1" s="3452" t="s">
        <v>3481</v>
      </c>
      <c r="AR1" s="3452" t="s">
        <v>3482</v>
      </c>
      <c r="AS1" s="3452" t="s">
        <v>3483</v>
      </c>
      <c r="AT1" s="3452" t="s">
        <v>3484</v>
      </c>
      <c r="AU1" s="3452" t="s">
        <v>3485</v>
      </c>
    </row>
    <row r="2" spans="1:47">
      <c r="A2" s="3452" t="s">
        <v>3486</v>
      </c>
      <c r="B2" s="3452" t="s">
        <v>3487</v>
      </c>
      <c r="C2" s="3452" t="s">
        <v>3488</v>
      </c>
      <c r="D2" s="3452" t="s">
        <v>3489</v>
      </c>
      <c r="E2" s="3452" t="s">
        <v>3490</v>
      </c>
      <c r="F2" s="3452" t="s">
        <v>3491</v>
      </c>
      <c r="G2" s="3452" t="s">
        <v>3492</v>
      </c>
      <c r="H2" s="3452">
        <v>31558.240000000002</v>
      </c>
      <c r="I2" s="3452">
        <v>88363.07</v>
      </c>
      <c r="J2" s="3452" t="s">
        <v>3493</v>
      </c>
      <c r="K2" s="3452" t="s">
        <v>3494</v>
      </c>
      <c r="L2" s="3452" t="s">
        <v>3495</v>
      </c>
      <c r="M2" s="3452">
        <v>0</v>
      </c>
      <c r="N2" s="3452" t="s">
        <v>633</v>
      </c>
      <c r="O2" s="3452" t="s">
        <v>633</v>
      </c>
      <c r="P2" s="3452">
        <v>60</v>
      </c>
      <c r="Q2" s="3452" t="s">
        <v>633</v>
      </c>
      <c r="R2" s="3452" t="s">
        <v>633</v>
      </c>
      <c r="S2" s="3452" t="s">
        <v>633</v>
      </c>
      <c r="T2" s="3452" t="s">
        <v>633</v>
      </c>
      <c r="U2" s="3452" t="s">
        <v>3496</v>
      </c>
      <c r="V2" s="3452" t="s">
        <v>3497</v>
      </c>
      <c r="W2" s="3452" t="s">
        <v>633</v>
      </c>
      <c r="X2" s="3452" t="s">
        <v>3498</v>
      </c>
      <c r="Y2" s="3452" t="s">
        <v>3499</v>
      </c>
      <c r="Z2" s="3452" t="s">
        <v>3500</v>
      </c>
      <c r="AA2" s="3452" t="s">
        <v>3501</v>
      </c>
      <c r="AB2" s="3452" t="s">
        <v>3501</v>
      </c>
      <c r="AC2" s="3452" t="s">
        <v>3492</v>
      </c>
      <c r="AD2" s="3452" t="s">
        <v>3502</v>
      </c>
      <c r="AE2" s="3452" t="s">
        <v>3503</v>
      </c>
      <c r="AF2" s="3452" t="s">
        <v>3504</v>
      </c>
      <c r="AG2" s="3452">
        <v>18000</v>
      </c>
      <c r="AH2" s="3452">
        <v>88100</v>
      </c>
      <c r="AI2" s="3452">
        <v>88100</v>
      </c>
      <c r="AJ2" s="3452">
        <v>1861.11</v>
      </c>
      <c r="AK2" s="3452">
        <v>1861.11</v>
      </c>
      <c r="AL2" s="3452">
        <v>9970.2199999999993</v>
      </c>
      <c r="AM2" s="3452">
        <v>9970.23</v>
      </c>
      <c r="AN2" s="3452" t="s">
        <v>633</v>
      </c>
      <c r="AO2" s="3452" t="s">
        <v>633</v>
      </c>
      <c r="AP2" s="3452">
        <v>0</v>
      </c>
      <c r="AQ2" s="3452" t="s">
        <v>3505</v>
      </c>
      <c r="AR2" s="3452" t="s">
        <v>633</v>
      </c>
      <c r="AS2" s="3452" t="s">
        <v>633</v>
      </c>
      <c r="AT2" s="3452" t="s">
        <v>633</v>
      </c>
      <c r="AU2" s="3452" t="s">
        <v>3506</v>
      </c>
    </row>
    <row r="3" spans="1:47" s="3453" customFormat="1">
      <c r="A3" s="3453" t="s">
        <v>3507</v>
      </c>
      <c r="B3" s="3453" t="s">
        <v>3487</v>
      </c>
      <c r="C3" s="3453" t="s">
        <v>3488</v>
      </c>
      <c r="D3" s="3453" t="s">
        <v>3508</v>
      </c>
      <c r="E3" s="3453" t="s">
        <v>3509</v>
      </c>
      <c r="F3" s="3453" t="s">
        <v>3510</v>
      </c>
      <c r="G3" s="3453" t="s">
        <v>3511</v>
      </c>
      <c r="H3" s="3453">
        <v>27822.39</v>
      </c>
      <c r="I3" s="3453">
        <v>44515.82</v>
      </c>
      <c r="J3" s="3453">
        <v>1.6</v>
      </c>
      <c r="K3" s="3453" t="s">
        <v>3494</v>
      </c>
      <c r="L3" s="3453" t="s">
        <v>3495</v>
      </c>
      <c r="M3" s="3453">
        <v>0</v>
      </c>
      <c r="N3" s="3453" t="s">
        <v>633</v>
      </c>
      <c r="O3" s="3453" t="s">
        <v>3512</v>
      </c>
      <c r="P3" s="3453">
        <v>45</v>
      </c>
      <c r="Q3" s="3453" t="s">
        <v>633</v>
      </c>
      <c r="R3" s="3453" t="s">
        <v>633</v>
      </c>
      <c r="S3" s="3453" t="s">
        <v>633</v>
      </c>
      <c r="T3" s="3453" t="s">
        <v>633</v>
      </c>
      <c r="U3" s="3453" t="s">
        <v>3513</v>
      </c>
      <c r="V3" s="3453" t="s">
        <v>3514</v>
      </c>
      <c r="W3" s="3453" t="s">
        <v>633</v>
      </c>
      <c r="X3" s="3453" t="s">
        <v>3498</v>
      </c>
      <c r="Y3" s="3453" t="s">
        <v>3515</v>
      </c>
      <c r="Z3" s="3453" t="s">
        <v>3516</v>
      </c>
      <c r="AA3" s="3453" t="s">
        <v>3517</v>
      </c>
      <c r="AB3" s="3453" t="s">
        <v>3517</v>
      </c>
      <c r="AC3" s="3453" t="s">
        <v>3511</v>
      </c>
      <c r="AD3" s="3453" t="s">
        <v>3502</v>
      </c>
      <c r="AE3" s="3453" t="s">
        <v>3518</v>
      </c>
      <c r="AF3" s="3453" t="s">
        <v>3519</v>
      </c>
      <c r="AG3" s="3453">
        <v>20000</v>
      </c>
      <c r="AH3" s="3453">
        <v>100000</v>
      </c>
      <c r="AI3" s="3453">
        <v>100000</v>
      </c>
      <c r="AJ3" s="3453">
        <v>2396.15</v>
      </c>
      <c r="AK3" s="3453">
        <v>2396.15</v>
      </c>
      <c r="AL3" s="3453">
        <v>22463.919999999998</v>
      </c>
      <c r="AM3" s="3453">
        <v>22463.919999999998</v>
      </c>
      <c r="AN3" s="3453" t="s">
        <v>633</v>
      </c>
      <c r="AO3" s="3453" t="s">
        <v>633</v>
      </c>
      <c r="AP3" s="3453">
        <v>0</v>
      </c>
      <c r="AQ3" s="3453" t="s">
        <v>3520</v>
      </c>
      <c r="AR3" s="3453" t="s">
        <v>633</v>
      </c>
      <c r="AS3" s="3453" t="s">
        <v>633</v>
      </c>
      <c r="AT3" s="3453" t="s">
        <v>633</v>
      </c>
      <c r="AU3" s="3453" t="s">
        <v>3521</v>
      </c>
    </row>
    <row r="4" spans="1:47" s="3454" customFormat="1">
      <c r="A4" s="3454" t="s">
        <v>3522</v>
      </c>
      <c r="B4" s="3454" t="s">
        <v>3487</v>
      </c>
      <c r="C4" s="3454" t="s">
        <v>3488</v>
      </c>
      <c r="D4" s="3454" t="s">
        <v>3523</v>
      </c>
      <c r="E4" s="3454" t="s">
        <v>3524</v>
      </c>
      <c r="F4" s="3454" t="s">
        <v>3525</v>
      </c>
      <c r="G4" s="3454" t="s">
        <v>3526</v>
      </c>
      <c r="H4" s="3454">
        <v>45880.63</v>
      </c>
      <c r="I4" s="3454">
        <v>100937.39</v>
      </c>
      <c r="J4" s="3454">
        <v>2.2000000000000002</v>
      </c>
      <c r="K4" s="3454" t="s">
        <v>3494</v>
      </c>
      <c r="L4" s="3454" t="s">
        <v>3495</v>
      </c>
      <c r="M4" s="3454">
        <v>0</v>
      </c>
      <c r="N4" s="3454" t="s">
        <v>633</v>
      </c>
      <c r="O4" s="3454" t="s">
        <v>633</v>
      </c>
      <c r="P4" s="3454" t="s">
        <v>3527</v>
      </c>
      <c r="Q4" s="3454" t="s">
        <v>633</v>
      </c>
      <c r="R4" s="3454" t="s">
        <v>633</v>
      </c>
      <c r="S4" s="3454" t="s">
        <v>633</v>
      </c>
      <c r="T4" s="3454" t="s">
        <v>633</v>
      </c>
      <c r="U4" s="3454" t="s">
        <v>3513</v>
      </c>
      <c r="V4" s="3454" t="s">
        <v>3514</v>
      </c>
      <c r="W4" s="3454" t="s">
        <v>633</v>
      </c>
      <c r="X4" s="3454" t="s">
        <v>3498</v>
      </c>
      <c r="Y4" s="3454" t="s">
        <v>3515</v>
      </c>
      <c r="Z4" s="3454" t="s">
        <v>3516</v>
      </c>
      <c r="AA4" s="3454" t="s">
        <v>3517</v>
      </c>
      <c r="AB4" s="3454" t="s">
        <v>3517</v>
      </c>
      <c r="AC4" s="3454" t="s">
        <v>3526</v>
      </c>
      <c r="AD4" s="3454" t="s">
        <v>3502</v>
      </c>
      <c r="AE4" s="3454" t="s">
        <v>3528</v>
      </c>
      <c r="AF4" s="3454" t="s">
        <v>3529</v>
      </c>
      <c r="AG4" s="3454">
        <v>52000</v>
      </c>
      <c r="AH4" s="3454">
        <v>259000</v>
      </c>
      <c r="AI4" s="3454">
        <v>259000</v>
      </c>
      <c r="AJ4" s="3454">
        <v>3763.39</v>
      </c>
      <c r="AK4" s="3454">
        <v>3763.39</v>
      </c>
      <c r="AL4" s="3454">
        <v>25659.47</v>
      </c>
      <c r="AM4" s="3454">
        <v>25659.47</v>
      </c>
      <c r="AN4" s="3454" t="s">
        <v>633</v>
      </c>
      <c r="AO4" s="3454" t="s">
        <v>633</v>
      </c>
      <c r="AP4" s="3454">
        <v>0</v>
      </c>
      <c r="AQ4" s="3454" t="s">
        <v>3520</v>
      </c>
      <c r="AR4" s="3454" t="s">
        <v>633</v>
      </c>
      <c r="AS4" s="3454" t="s">
        <v>633</v>
      </c>
      <c r="AT4" s="3454" t="s">
        <v>633</v>
      </c>
      <c r="AU4" s="3454" t="s">
        <v>3530</v>
      </c>
    </row>
    <row r="5" spans="1:47">
      <c r="A5" s="3452" t="s">
        <v>3531</v>
      </c>
      <c r="B5" s="3452" t="s">
        <v>3487</v>
      </c>
      <c r="C5" s="3452" t="s">
        <v>3488</v>
      </c>
      <c r="D5" s="3452" t="s">
        <v>3508</v>
      </c>
      <c r="E5" s="3452" t="s">
        <v>3532</v>
      </c>
      <c r="F5" s="3452" t="s">
        <v>3533</v>
      </c>
      <c r="G5" s="3452" t="s">
        <v>3534</v>
      </c>
      <c r="H5" s="3452">
        <v>77391.100000000006</v>
      </c>
      <c r="I5" s="3452">
        <v>177999.53</v>
      </c>
      <c r="J5" s="3452">
        <v>2.2999999999999998</v>
      </c>
      <c r="K5" s="3452" t="s">
        <v>3494</v>
      </c>
      <c r="L5" s="3452" t="s">
        <v>3495</v>
      </c>
      <c r="M5" s="3452">
        <v>0</v>
      </c>
      <c r="N5" s="3452" t="s">
        <v>633</v>
      </c>
      <c r="O5" s="3452" t="s">
        <v>3535</v>
      </c>
      <c r="P5" s="3452" t="s">
        <v>3536</v>
      </c>
      <c r="Q5" s="3452" t="s">
        <v>633</v>
      </c>
      <c r="R5" s="3452" t="s">
        <v>633</v>
      </c>
      <c r="S5" s="3452" t="s">
        <v>633</v>
      </c>
      <c r="T5" s="3452" t="s">
        <v>633</v>
      </c>
      <c r="U5" s="3452" t="s">
        <v>3513</v>
      </c>
      <c r="V5" s="3452" t="s">
        <v>3537</v>
      </c>
      <c r="W5" s="3452" t="s">
        <v>633</v>
      </c>
      <c r="X5" s="3452" t="s">
        <v>3498</v>
      </c>
      <c r="Y5" s="3452" t="s">
        <v>3538</v>
      </c>
      <c r="Z5" s="3452" t="s">
        <v>3539</v>
      </c>
      <c r="AA5" s="3452" t="s">
        <v>3540</v>
      </c>
      <c r="AB5" s="3452" t="s">
        <v>3540</v>
      </c>
      <c r="AC5" s="3452" t="s">
        <v>3534</v>
      </c>
      <c r="AD5" s="3452" t="s">
        <v>3502</v>
      </c>
      <c r="AE5" s="3452" t="s">
        <v>3541</v>
      </c>
      <c r="AF5" s="3452" t="s">
        <v>3542</v>
      </c>
      <c r="AG5" s="3452">
        <v>138000</v>
      </c>
      <c r="AH5" s="3452">
        <v>688000</v>
      </c>
      <c r="AI5" s="3452">
        <v>791200</v>
      </c>
      <c r="AJ5" s="3452">
        <v>5926.61</v>
      </c>
      <c r="AK5" s="3452">
        <v>6815.6</v>
      </c>
      <c r="AL5" s="3452">
        <v>38651.79</v>
      </c>
      <c r="AM5" s="3452">
        <v>44449.56</v>
      </c>
      <c r="AN5" s="3452" t="s">
        <v>633</v>
      </c>
      <c r="AO5" s="3452" t="s">
        <v>633</v>
      </c>
      <c r="AP5" s="3452">
        <v>15</v>
      </c>
      <c r="AQ5" s="3452" t="s">
        <v>3543</v>
      </c>
      <c r="AR5" s="3452" t="s">
        <v>633</v>
      </c>
      <c r="AS5" s="3452" t="s">
        <v>633</v>
      </c>
      <c r="AT5" s="3452" t="s">
        <v>633</v>
      </c>
      <c r="AU5" s="3452" t="s">
        <v>3521</v>
      </c>
    </row>
    <row r="6" spans="1:47">
      <c r="A6" s="3452" t="s">
        <v>3544</v>
      </c>
      <c r="B6" s="3452" t="s">
        <v>3487</v>
      </c>
      <c r="C6" s="3452" t="s">
        <v>3488</v>
      </c>
      <c r="D6" s="3452" t="s">
        <v>3545</v>
      </c>
      <c r="E6" s="3452" t="s">
        <v>3546</v>
      </c>
      <c r="F6" s="3452" t="s">
        <v>3547</v>
      </c>
      <c r="G6" s="3452" t="s">
        <v>3548</v>
      </c>
      <c r="H6" s="3452">
        <v>20354.939999999999</v>
      </c>
      <c r="I6" s="3452">
        <v>47549.3</v>
      </c>
      <c r="J6" s="3452" t="s">
        <v>3549</v>
      </c>
      <c r="K6" s="3452" t="s">
        <v>3494</v>
      </c>
      <c r="L6" s="3452" t="s">
        <v>3550</v>
      </c>
      <c r="M6" s="3452">
        <v>0</v>
      </c>
      <c r="N6" s="3452" t="s">
        <v>633</v>
      </c>
      <c r="O6" s="3452" t="s">
        <v>3551</v>
      </c>
      <c r="P6" s="3452">
        <v>45</v>
      </c>
      <c r="Q6" s="3452" t="s">
        <v>633</v>
      </c>
      <c r="R6" s="3452" t="s">
        <v>633</v>
      </c>
      <c r="S6" s="3452" t="s">
        <v>633</v>
      </c>
      <c r="T6" s="3452" t="s">
        <v>633</v>
      </c>
      <c r="U6" s="3452" t="s">
        <v>3496</v>
      </c>
      <c r="V6" s="3452" t="s">
        <v>3537</v>
      </c>
      <c r="W6" s="3452" t="s">
        <v>633</v>
      </c>
      <c r="X6" s="3452" t="s">
        <v>3498</v>
      </c>
      <c r="Y6" s="3452" t="s">
        <v>3552</v>
      </c>
      <c r="Z6" s="3452" t="s">
        <v>3553</v>
      </c>
      <c r="AA6" s="3452" t="s">
        <v>3554</v>
      </c>
      <c r="AB6" s="3452" t="s">
        <v>3554</v>
      </c>
      <c r="AC6" s="3452" t="s">
        <v>3548</v>
      </c>
      <c r="AD6" s="3452" t="s">
        <v>3502</v>
      </c>
      <c r="AE6" s="3452" t="s">
        <v>3555</v>
      </c>
      <c r="AF6" s="3452" t="s">
        <v>3555</v>
      </c>
      <c r="AG6" s="3452">
        <v>20000</v>
      </c>
      <c r="AH6" s="3452">
        <v>96000</v>
      </c>
      <c r="AI6" s="3452">
        <v>110400</v>
      </c>
      <c r="AJ6" s="3452">
        <v>3144.2</v>
      </c>
      <c r="AK6" s="3452">
        <v>3615.83</v>
      </c>
      <c r="AL6" s="3452">
        <v>20189.57</v>
      </c>
      <c r="AM6" s="3452">
        <v>23218.01</v>
      </c>
      <c r="AN6" s="3452" t="s">
        <v>633</v>
      </c>
      <c r="AO6" s="3452" t="s">
        <v>633</v>
      </c>
      <c r="AP6" s="3452">
        <v>15</v>
      </c>
      <c r="AQ6" s="3452" t="s">
        <v>3543</v>
      </c>
      <c r="AR6" s="3452" t="s">
        <v>633</v>
      </c>
      <c r="AS6" s="3452" t="s">
        <v>633</v>
      </c>
      <c r="AT6" s="3452" t="s">
        <v>633</v>
      </c>
      <c r="AU6" s="3452" t="s">
        <v>3506</v>
      </c>
    </row>
    <row r="7" spans="1:47">
      <c r="A7" s="3452" t="s">
        <v>3556</v>
      </c>
      <c r="B7" s="3452" t="s">
        <v>3487</v>
      </c>
      <c r="C7" s="3452" t="s">
        <v>3488</v>
      </c>
      <c r="D7" s="3452" t="s">
        <v>3545</v>
      </c>
      <c r="E7" s="3452" t="s">
        <v>3557</v>
      </c>
      <c r="F7" s="3452" t="s">
        <v>3558</v>
      </c>
      <c r="G7" s="3452" t="s">
        <v>3559</v>
      </c>
      <c r="H7" s="3452">
        <v>34099.22</v>
      </c>
      <c r="I7" s="3452">
        <v>61378.59</v>
      </c>
      <c r="J7" s="3452">
        <v>1.8</v>
      </c>
      <c r="K7" s="3452" t="s">
        <v>3494</v>
      </c>
      <c r="L7" s="3452" t="s">
        <v>3550</v>
      </c>
      <c r="M7" s="3452">
        <v>0</v>
      </c>
      <c r="N7" s="3452" t="s">
        <v>633</v>
      </c>
      <c r="O7" s="3452" t="s">
        <v>3560</v>
      </c>
      <c r="P7" s="3452" t="s">
        <v>633</v>
      </c>
      <c r="Q7" s="3452" t="s">
        <v>633</v>
      </c>
      <c r="R7" s="3452" t="s">
        <v>633</v>
      </c>
      <c r="S7" s="3452" t="s">
        <v>633</v>
      </c>
      <c r="T7" s="3452" t="s">
        <v>633</v>
      </c>
      <c r="U7" s="3452" t="s">
        <v>3561</v>
      </c>
      <c r="V7" s="3452" t="s">
        <v>3562</v>
      </c>
      <c r="W7" s="3452" t="s">
        <v>3563</v>
      </c>
      <c r="X7" s="3452" t="s">
        <v>3498</v>
      </c>
      <c r="Y7" s="3452" t="s">
        <v>3564</v>
      </c>
      <c r="Z7" s="3452" t="s">
        <v>3565</v>
      </c>
      <c r="AA7" s="3452" t="s">
        <v>3566</v>
      </c>
      <c r="AB7" s="3452" t="s">
        <v>3566</v>
      </c>
      <c r="AC7" s="3452" t="s">
        <v>3559</v>
      </c>
      <c r="AD7" s="3452" t="s">
        <v>3502</v>
      </c>
      <c r="AE7" s="3452" t="s">
        <v>3567</v>
      </c>
      <c r="AF7" s="3452" t="s">
        <v>3567</v>
      </c>
      <c r="AG7" s="3452">
        <v>31000</v>
      </c>
      <c r="AH7" s="3452">
        <v>150500</v>
      </c>
      <c r="AI7" s="3452">
        <v>173075</v>
      </c>
      <c r="AJ7" s="3452">
        <v>2942.39</v>
      </c>
      <c r="AK7" s="3452">
        <v>3383.75</v>
      </c>
      <c r="AL7" s="3452">
        <v>24519.95</v>
      </c>
      <c r="AM7" s="3452">
        <v>28197.94</v>
      </c>
      <c r="AN7" s="3452" t="s">
        <v>633</v>
      </c>
      <c r="AO7" s="3452" t="s">
        <v>633</v>
      </c>
      <c r="AP7" s="3452">
        <v>15</v>
      </c>
      <c r="AQ7" s="3452" t="s">
        <v>3505</v>
      </c>
      <c r="AR7" s="3452" t="s">
        <v>633</v>
      </c>
      <c r="AS7" s="3452" t="s">
        <v>633</v>
      </c>
      <c r="AT7" s="3452" t="s">
        <v>633</v>
      </c>
      <c r="AU7" s="3452" t="s">
        <v>3521</v>
      </c>
    </row>
    <row r="8" spans="1:47">
      <c r="A8" s="3452" t="s">
        <v>3568</v>
      </c>
      <c r="B8" s="3452" t="s">
        <v>3487</v>
      </c>
      <c r="C8" s="3452" t="s">
        <v>3488</v>
      </c>
      <c r="D8" s="3452" t="s">
        <v>3508</v>
      </c>
      <c r="E8" s="3452" t="s">
        <v>3569</v>
      </c>
      <c r="F8" s="3452" t="s">
        <v>3570</v>
      </c>
      <c r="G8" s="3452" t="s">
        <v>3571</v>
      </c>
      <c r="H8" s="3452">
        <v>43400</v>
      </c>
      <c r="I8" s="3452">
        <v>86800</v>
      </c>
      <c r="J8" s="3452">
        <v>2</v>
      </c>
      <c r="K8" s="3452" t="s">
        <v>3494</v>
      </c>
      <c r="L8" s="3452" t="s">
        <v>3495</v>
      </c>
      <c r="M8" s="3452">
        <v>0</v>
      </c>
      <c r="N8" s="3452" t="s">
        <v>633</v>
      </c>
      <c r="O8" s="3452" t="s">
        <v>3560</v>
      </c>
      <c r="P8" s="3452">
        <v>45</v>
      </c>
      <c r="Q8" s="3452" t="s">
        <v>633</v>
      </c>
      <c r="R8" s="3452" t="s">
        <v>633</v>
      </c>
      <c r="S8" s="3452" t="s">
        <v>633</v>
      </c>
      <c r="T8" s="3452" t="s">
        <v>633</v>
      </c>
      <c r="U8" s="3452" t="s">
        <v>3496</v>
      </c>
      <c r="V8" s="3452" t="s">
        <v>3497</v>
      </c>
      <c r="W8" s="3452" t="s">
        <v>633</v>
      </c>
      <c r="X8" s="3452" t="s">
        <v>3498</v>
      </c>
      <c r="Y8" s="3452" t="s">
        <v>3564</v>
      </c>
      <c r="Z8" s="3452" t="s">
        <v>3565</v>
      </c>
      <c r="AA8" s="3452" t="s">
        <v>3566</v>
      </c>
      <c r="AB8" s="3452" t="s">
        <v>3566</v>
      </c>
      <c r="AC8" s="3452" t="s">
        <v>3571</v>
      </c>
      <c r="AD8" s="3452" t="s">
        <v>3502</v>
      </c>
      <c r="AE8" s="3452" t="s">
        <v>3572</v>
      </c>
      <c r="AF8" s="3452" t="s">
        <v>3573</v>
      </c>
      <c r="AG8" s="3452">
        <v>58000</v>
      </c>
      <c r="AH8" s="3452">
        <v>287000</v>
      </c>
      <c r="AI8" s="3452">
        <v>330050</v>
      </c>
      <c r="AJ8" s="3452">
        <v>4408.6000000000004</v>
      </c>
      <c r="AK8" s="3452">
        <v>5069.8900000000003</v>
      </c>
      <c r="AL8" s="3452">
        <v>33064.51</v>
      </c>
      <c r="AM8" s="3452">
        <v>38024.19</v>
      </c>
      <c r="AN8" s="3452" t="s">
        <v>633</v>
      </c>
      <c r="AO8" s="3452" t="s">
        <v>633</v>
      </c>
      <c r="AP8" s="3452">
        <v>15</v>
      </c>
      <c r="AQ8" s="3452" t="s">
        <v>3505</v>
      </c>
      <c r="AR8" s="3452" t="s">
        <v>633</v>
      </c>
      <c r="AS8" s="3452" t="s">
        <v>633</v>
      </c>
      <c r="AT8" s="3452" t="s">
        <v>633</v>
      </c>
      <c r="AU8" s="3452" t="s">
        <v>3521</v>
      </c>
    </row>
    <row r="9" spans="1:47">
      <c r="A9" s="3452" t="s">
        <v>3574</v>
      </c>
      <c r="B9" s="3452" t="s">
        <v>3487</v>
      </c>
      <c r="C9" s="3452" t="s">
        <v>3488</v>
      </c>
      <c r="D9" s="3452" t="s">
        <v>3545</v>
      </c>
      <c r="E9" s="3452" t="s">
        <v>3557</v>
      </c>
      <c r="F9" s="3452" t="s">
        <v>3575</v>
      </c>
      <c r="G9" s="3452" t="s">
        <v>3576</v>
      </c>
      <c r="H9" s="3452">
        <v>31562.01</v>
      </c>
      <c r="I9" s="3452">
        <v>56811.61</v>
      </c>
      <c r="J9" s="3452">
        <v>1.8</v>
      </c>
      <c r="K9" s="3452" t="s">
        <v>3494</v>
      </c>
      <c r="L9" s="3452" t="s">
        <v>3550</v>
      </c>
      <c r="M9" s="3452">
        <v>0</v>
      </c>
      <c r="N9" s="3452" t="s">
        <v>633</v>
      </c>
      <c r="O9" s="3452" t="s">
        <v>3560</v>
      </c>
      <c r="P9" s="3452" t="s">
        <v>633</v>
      </c>
      <c r="Q9" s="3452" t="s">
        <v>633</v>
      </c>
      <c r="R9" s="3452" t="s">
        <v>633</v>
      </c>
      <c r="S9" s="3452" t="s">
        <v>633</v>
      </c>
      <c r="T9" s="3452" t="s">
        <v>633</v>
      </c>
      <c r="U9" s="3452" t="s">
        <v>3496</v>
      </c>
      <c r="V9" s="3452" t="s">
        <v>3562</v>
      </c>
      <c r="W9" s="3452" t="s">
        <v>3577</v>
      </c>
      <c r="X9" s="3452" t="s">
        <v>3498</v>
      </c>
      <c r="Y9" s="3452" t="s">
        <v>3564</v>
      </c>
      <c r="Z9" s="3452" t="s">
        <v>3565</v>
      </c>
      <c r="AA9" s="3452" t="s">
        <v>3566</v>
      </c>
      <c r="AB9" s="3452" t="s">
        <v>3566</v>
      </c>
      <c r="AC9" s="3452" t="s">
        <v>3576</v>
      </c>
      <c r="AD9" s="3452" t="s">
        <v>3502</v>
      </c>
      <c r="AE9" s="3452" t="s">
        <v>3578</v>
      </c>
      <c r="AF9" s="3452" t="s">
        <v>3578</v>
      </c>
      <c r="AG9" s="3452">
        <v>29000</v>
      </c>
      <c r="AH9" s="3452">
        <v>144000</v>
      </c>
      <c r="AI9" s="3452">
        <v>165600</v>
      </c>
      <c r="AJ9" s="3452">
        <v>3041.63</v>
      </c>
      <c r="AK9" s="3452">
        <v>3497.88</v>
      </c>
      <c r="AL9" s="3452">
        <v>25346.93</v>
      </c>
      <c r="AM9" s="3452">
        <v>29148.97</v>
      </c>
      <c r="AN9" s="3452" t="s">
        <v>633</v>
      </c>
      <c r="AO9" s="3452" t="s">
        <v>633</v>
      </c>
      <c r="AP9" s="3452">
        <v>15</v>
      </c>
      <c r="AQ9" s="3452" t="s">
        <v>3505</v>
      </c>
      <c r="AR9" s="3452" t="s">
        <v>633</v>
      </c>
      <c r="AS9" s="3452" t="s">
        <v>633</v>
      </c>
      <c r="AT9" s="3452" t="s">
        <v>633</v>
      </c>
      <c r="AU9" s="3452" t="s">
        <v>3506</v>
      </c>
    </row>
    <row r="10" spans="1:47">
      <c r="A10" s="3452" t="s">
        <v>3579</v>
      </c>
      <c r="B10" s="3452" t="s">
        <v>3487</v>
      </c>
      <c r="C10" s="3452" t="s">
        <v>3488</v>
      </c>
      <c r="D10" s="3452" t="s">
        <v>3523</v>
      </c>
      <c r="E10" s="3452" t="s">
        <v>3580</v>
      </c>
      <c r="F10" s="3452" t="s">
        <v>3581</v>
      </c>
      <c r="G10" s="3452" t="s">
        <v>3582</v>
      </c>
      <c r="H10" s="3452">
        <v>29561.58</v>
      </c>
      <c r="I10" s="3452">
        <v>65035.47</v>
      </c>
      <c r="J10" s="3452">
        <v>2.2000000000000002</v>
      </c>
      <c r="K10" s="3452" t="s">
        <v>3494</v>
      </c>
      <c r="L10" s="3452" t="s">
        <v>3495</v>
      </c>
      <c r="M10" s="3452">
        <v>0</v>
      </c>
      <c r="N10" s="3452" t="s">
        <v>633</v>
      </c>
      <c r="O10" s="3452" t="s">
        <v>633</v>
      </c>
      <c r="P10" s="3452">
        <v>36</v>
      </c>
      <c r="Q10" s="3452" t="s">
        <v>633</v>
      </c>
      <c r="R10" s="3452" t="s">
        <v>633</v>
      </c>
      <c r="S10" s="3452" t="s">
        <v>633</v>
      </c>
      <c r="T10" s="3452" t="s">
        <v>633</v>
      </c>
      <c r="U10" s="3452" t="s">
        <v>3561</v>
      </c>
      <c r="V10" s="3452" t="s">
        <v>3562</v>
      </c>
      <c r="W10" s="3452" t="s">
        <v>633</v>
      </c>
      <c r="X10" s="3452" t="s">
        <v>3498</v>
      </c>
      <c r="Y10" s="3452" t="s">
        <v>3583</v>
      </c>
      <c r="Z10" s="3452" t="s">
        <v>3584</v>
      </c>
      <c r="AA10" s="3452" t="s">
        <v>3564</v>
      </c>
      <c r="AB10" s="3452" t="s">
        <v>3564</v>
      </c>
      <c r="AC10" s="3452" t="s">
        <v>3582</v>
      </c>
      <c r="AD10" s="3452" t="s">
        <v>3502</v>
      </c>
      <c r="AE10" s="3452" t="s">
        <v>3572</v>
      </c>
      <c r="AF10" s="3452" t="s">
        <v>3573</v>
      </c>
      <c r="AG10" s="3452">
        <v>41000</v>
      </c>
      <c r="AH10" s="3452">
        <v>202000</v>
      </c>
      <c r="AI10" s="3452">
        <v>232000</v>
      </c>
      <c r="AJ10" s="3452">
        <v>4555.46</v>
      </c>
      <c r="AK10" s="3452">
        <v>5232.0200000000004</v>
      </c>
      <c r="AL10" s="3452">
        <v>31059.97</v>
      </c>
      <c r="AM10" s="3452">
        <v>35672.839999999997</v>
      </c>
      <c r="AN10" s="3452" t="s">
        <v>633</v>
      </c>
      <c r="AO10" s="3452" t="s">
        <v>633</v>
      </c>
      <c r="AP10" s="3452">
        <v>14.85</v>
      </c>
      <c r="AQ10" s="3452" t="s">
        <v>3585</v>
      </c>
      <c r="AR10" s="3452" t="s">
        <v>633</v>
      </c>
      <c r="AS10" s="3452" t="s">
        <v>633</v>
      </c>
      <c r="AT10" s="3452" t="s">
        <v>633</v>
      </c>
      <c r="AU10" s="3452" t="s">
        <v>3506</v>
      </c>
    </row>
    <row r="11" spans="1:47">
      <c r="A11" s="3452" t="s">
        <v>3586</v>
      </c>
      <c r="B11" s="3452" t="s">
        <v>3487</v>
      </c>
      <c r="C11" s="3452" t="s">
        <v>3488</v>
      </c>
      <c r="D11" s="3452" t="s">
        <v>3508</v>
      </c>
      <c r="E11" s="3452" t="s">
        <v>3532</v>
      </c>
      <c r="F11" s="3452" t="s">
        <v>3587</v>
      </c>
      <c r="G11" s="3452" t="s">
        <v>3588</v>
      </c>
      <c r="H11" s="3452">
        <v>87287.8</v>
      </c>
      <c r="I11" s="3452">
        <v>192033.17</v>
      </c>
      <c r="J11" s="3452">
        <v>2.2000000000000002</v>
      </c>
      <c r="K11" s="3452" t="s">
        <v>3494</v>
      </c>
      <c r="L11" s="3452" t="s">
        <v>3589</v>
      </c>
      <c r="M11" s="3452">
        <v>0</v>
      </c>
      <c r="N11" s="3452" t="s">
        <v>633</v>
      </c>
      <c r="O11" s="3452" t="s">
        <v>633</v>
      </c>
      <c r="P11" s="3452" t="s">
        <v>633</v>
      </c>
      <c r="Q11" s="3452" t="s">
        <v>633</v>
      </c>
      <c r="R11" s="3452" t="s">
        <v>633</v>
      </c>
      <c r="S11" s="3452" t="s">
        <v>633</v>
      </c>
      <c r="T11" s="3452" t="s">
        <v>633</v>
      </c>
      <c r="U11" s="3452" t="s">
        <v>633</v>
      </c>
      <c r="V11" s="3452" t="s">
        <v>633</v>
      </c>
      <c r="W11" s="3452" t="s">
        <v>633</v>
      </c>
      <c r="X11" s="3452" t="s">
        <v>3498</v>
      </c>
      <c r="Y11" s="3452" t="s">
        <v>3590</v>
      </c>
      <c r="Z11" s="3452" t="s">
        <v>3591</v>
      </c>
      <c r="AA11" s="3452" t="s">
        <v>3592</v>
      </c>
      <c r="AB11" s="3452" t="s">
        <v>3592</v>
      </c>
      <c r="AC11" s="3452" t="s">
        <v>3588</v>
      </c>
      <c r="AD11" s="3452" t="s">
        <v>3502</v>
      </c>
      <c r="AE11" s="3452" t="s">
        <v>3593</v>
      </c>
      <c r="AF11" s="3452" t="s">
        <v>3594</v>
      </c>
      <c r="AG11" s="3452">
        <v>83000</v>
      </c>
      <c r="AH11" s="3452">
        <v>275143.78999999998</v>
      </c>
      <c r="AI11" s="3452">
        <v>275143.78999999998</v>
      </c>
      <c r="AJ11" s="3452">
        <v>2101.4299999999998</v>
      </c>
      <c r="AK11" s="3452">
        <v>2101.4299999999998</v>
      </c>
      <c r="AL11" s="3452">
        <v>14327.93</v>
      </c>
      <c r="AM11" s="3452">
        <v>14327.93</v>
      </c>
      <c r="AN11" s="3452" t="s">
        <v>633</v>
      </c>
      <c r="AO11" s="3452" t="s">
        <v>633</v>
      </c>
      <c r="AP11" s="3452">
        <v>0</v>
      </c>
      <c r="AQ11" s="3452" t="s">
        <v>3595</v>
      </c>
      <c r="AR11" s="3452" t="s">
        <v>633</v>
      </c>
      <c r="AS11" s="3452" t="s">
        <v>633</v>
      </c>
      <c r="AT11" s="3452" t="s">
        <v>633</v>
      </c>
      <c r="AU11" s="3452" t="s">
        <v>3521</v>
      </c>
    </row>
    <row r="12" spans="1:47">
      <c r="A12" s="3452" t="s">
        <v>3596</v>
      </c>
      <c r="B12" s="3452" t="s">
        <v>3487</v>
      </c>
      <c r="C12" s="3452" t="s">
        <v>3488</v>
      </c>
      <c r="D12" s="3452" t="s">
        <v>3508</v>
      </c>
      <c r="E12" s="3452" t="s">
        <v>3532</v>
      </c>
      <c r="F12" s="3452" t="s">
        <v>3597</v>
      </c>
      <c r="G12" s="3452" t="s">
        <v>3598</v>
      </c>
      <c r="H12" s="3452">
        <v>59523.360000000001</v>
      </c>
      <c r="I12" s="3452">
        <v>130951.38</v>
      </c>
      <c r="J12" s="3452">
        <v>2.2000000000000002</v>
      </c>
      <c r="K12" s="3452" t="s">
        <v>3494</v>
      </c>
      <c r="L12" s="3452" t="s">
        <v>3589</v>
      </c>
      <c r="M12" s="3452">
        <v>0</v>
      </c>
      <c r="N12" s="3452" t="s">
        <v>633</v>
      </c>
      <c r="O12" s="3452" t="s">
        <v>633</v>
      </c>
      <c r="P12" s="3452" t="s">
        <v>633</v>
      </c>
      <c r="Q12" s="3452" t="s">
        <v>633</v>
      </c>
      <c r="R12" s="3452" t="s">
        <v>633</v>
      </c>
      <c r="S12" s="3452" t="s">
        <v>633</v>
      </c>
      <c r="T12" s="3452" t="s">
        <v>633</v>
      </c>
      <c r="U12" s="3452" t="s">
        <v>633</v>
      </c>
      <c r="V12" s="3452" t="s">
        <v>633</v>
      </c>
      <c r="W12" s="3452" t="s">
        <v>633</v>
      </c>
      <c r="X12" s="3452" t="s">
        <v>3498</v>
      </c>
      <c r="Y12" s="3452" t="s">
        <v>3590</v>
      </c>
      <c r="Z12" s="3452" t="s">
        <v>3599</v>
      </c>
      <c r="AA12" s="3452" t="s">
        <v>3600</v>
      </c>
      <c r="AB12" s="3452" t="s">
        <v>3600</v>
      </c>
      <c r="AC12" s="3452" t="s">
        <v>3598</v>
      </c>
      <c r="AD12" s="3452" t="s">
        <v>3502</v>
      </c>
      <c r="AE12" s="3452" t="s">
        <v>3601</v>
      </c>
      <c r="AF12" s="3452" t="s">
        <v>3602</v>
      </c>
      <c r="AG12" s="3452">
        <v>57000</v>
      </c>
      <c r="AH12" s="3452">
        <v>188205.82</v>
      </c>
      <c r="AI12" s="3452">
        <v>188205.82</v>
      </c>
      <c r="AJ12" s="3452">
        <v>2107.92</v>
      </c>
      <c r="AK12" s="3452">
        <v>2107.92</v>
      </c>
      <c r="AL12" s="3452">
        <v>14372.19</v>
      </c>
      <c r="AM12" s="3452">
        <v>14372.19</v>
      </c>
      <c r="AN12" s="3452" t="s">
        <v>633</v>
      </c>
      <c r="AO12" s="3452" t="s">
        <v>633</v>
      </c>
      <c r="AP12" s="3452">
        <v>0</v>
      </c>
      <c r="AQ12" s="3452" t="s">
        <v>3595</v>
      </c>
      <c r="AR12" s="3452" t="s">
        <v>633</v>
      </c>
      <c r="AS12" s="3452" t="s">
        <v>633</v>
      </c>
      <c r="AT12" s="3452" t="s">
        <v>633</v>
      </c>
      <c r="AU12" s="3452" t="s">
        <v>3521</v>
      </c>
    </row>
    <row r="13" spans="1:47">
      <c r="A13" s="3452" t="s">
        <v>3603</v>
      </c>
      <c r="B13" s="3452" t="s">
        <v>3487</v>
      </c>
      <c r="C13" s="3452" t="s">
        <v>3488</v>
      </c>
      <c r="D13" s="3452" t="s">
        <v>3604</v>
      </c>
      <c r="E13" s="3452" t="s">
        <v>3605</v>
      </c>
      <c r="F13" s="3452" t="s">
        <v>3606</v>
      </c>
      <c r="G13" s="3452" t="s">
        <v>3607</v>
      </c>
      <c r="H13" s="3452">
        <v>49176.79</v>
      </c>
      <c r="I13" s="3452">
        <v>108188.94</v>
      </c>
      <c r="J13" s="3452">
        <v>2.2000000000000002</v>
      </c>
      <c r="K13" s="3452" t="s">
        <v>3494</v>
      </c>
      <c r="L13" s="3452" t="s">
        <v>3495</v>
      </c>
      <c r="M13" s="3452">
        <v>0</v>
      </c>
      <c r="N13" s="3452" t="s">
        <v>633</v>
      </c>
      <c r="O13" s="3452" t="s">
        <v>633</v>
      </c>
      <c r="P13" s="3452" t="s">
        <v>3608</v>
      </c>
      <c r="Q13" s="3452" t="s">
        <v>633</v>
      </c>
      <c r="R13" s="3452" t="s">
        <v>633</v>
      </c>
      <c r="S13" s="3452" t="s">
        <v>633</v>
      </c>
      <c r="T13" s="3452" t="s">
        <v>633</v>
      </c>
      <c r="U13" s="3452" t="s">
        <v>3496</v>
      </c>
      <c r="V13" s="3452" t="s">
        <v>3497</v>
      </c>
      <c r="W13" s="3452" t="s">
        <v>633</v>
      </c>
      <c r="X13" s="3452" t="s">
        <v>3498</v>
      </c>
      <c r="Y13" s="3452" t="s">
        <v>3609</v>
      </c>
      <c r="Z13" s="3452" t="s">
        <v>3610</v>
      </c>
      <c r="AA13" s="3452" t="s">
        <v>3611</v>
      </c>
      <c r="AB13" s="3452" t="s">
        <v>3611</v>
      </c>
      <c r="AC13" s="3452" t="s">
        <v>3607</v>
      </c>
      <c r="AD13" s="3452" t="s">
        <v>3502</v>
      </c>
      <c r="AE13" s="3452" t="s">
        <v>3612</v>
      </c>
      <c r="AF13" s="3452" t="s">
        <v>3612</v>
      </c>
      <c r="AG13" s="3452">
        <v>54000</v>
      </c>
      <c r="AH13" s="3452">
        <v>270000</v>
      </c>
      <c r="AI13" s="3452">
        <v>270000</v>
      </c>
      <c r="AJ13" s="3452">
        <v>3660.26</v>
      </c>
      <c r="AK13" s="3452">
        <v>3660.26</v>
      </c>
      <c r="AL13" s="3452">
        <v>24956.34</v>
      </c>
      <c r="AM13" s="3452">
        <v>24956.34</v>
      </c>
      <c r="AN13" s="3452" t="s">
        <v>633</v>
      </c>
      <c r="AO13" s="3452" t="s">
        <v>633</v>
      </c>
      <c r="AP13" s="3452">
        <v>0</v>
      </c>
      <c r="AQ13" s="3452" t="s">
        <v>3505</v>
      </c>
      <c r="AR13" s="3452" t="s">
        <v>633</v>
      </c>
      <c r="AS13" s="3452" t="s">
        <v>633</v>
      </c>
      <c r="AT13" s="3452" t="s">
        <v>633</v>
      </c>
      <c r="AU13" s="3452" t="s">
        <v>3506</v>
      </c>
    </row>
    <row r="14" spans="1:47">
      <c r="A14" s="3452" t="s">
        <v>3613</v>
      </c>
      <c r="B14" s="3452" t="s">
        <v>3487</v>
      </c>
      <c r="C14" s="3452" t="s">
        <v>3488</v>
      </c>
      <c r="D14" s="3452" t="s">
        <v>3604</v>
      </c>
      <c r="E14" s="3452" t="s">
        <v>3614</v>
      </c>
      <c r="F14" s="3452" t="s">
        <v>3615</v>
      </c>
      <c r="G14" s="3452" t="s">
        <v>3616</v>
      </c>
      <c r="H14" s="3452">
        <v>14652.77</v>
      </c>
      <c r="I14" s="3452">
        <v>36631.919999999998</v>
      </c>
      <c r="J14" s="3452">
        <v>2.5</v>
      </c>
      <c r="K14" s="3452" t="s">
        <v>3494</v>
      </c>
      <c r="L14" s="3452" t="s">
        <v>3495</v>
      </c>
      <c r="M14" s="3452">
        <v>0</v>
      </c>
      <c r="N14" s="3452">
        <v>2.73</v>
      </c>
      <c r="O14" s="3452" t="s">
        <v>633</v>
      </c>
      <c r="P14" s="3452">
        <v>80</v>
      </c>
      <c r="Q14" s="3452" t="s">
        <v>633</v>
      </c>
      <c r="R14" s="3452" t="s">
        <v>633</v>
      </c>
      <c r="S14" s="3452" t="s">
        <v>633</v>
      </c>
      <c r="T14" s="3452" t="s">
        <v>633</v>
      </c>
      <c r="U14" s="3452" t="s">
        <v>3496</v>
      </c>
      <c r="V14" s="3452" t="s">
        <v>3496</v>
      </c>
      <c r="W14" s="3452" t="s">
        <v>633</v>
      </c>
      <c r="X14" s="3452" t="s">
        <v>3498</v>
      </c>
      <c r="Y14" s="3452" t="s">
        <v>3609</v>
      </c>
      <c r="Z14" s="3452" t="s">
        <v>3610</v>
      </c>
      <c r="AA14" s="3452" t="s">
        <v>3611</v>
      </c>
      <c r="AB14" s="3452" t="s">
        <v>3611</v>
      </c>
      <c r="AC14" s="3452" t="s">
        <v>3616</v>
      </c>
      <c r="AD14" s="3452" t="s">
        <v>3502</v>
      </c>
      <c r="AE14" s="3452" t="s">
        <v>3617</v>
      </c>
      <c r="AF14" s="3452" t="s">
        <v>3618</v>
      </c>
      <c r="AG14" s="3452">
        <v>23000</v>
      </c>
      <c r="AH14" s="3452">
        <v>113000</v>
      </c>
      <c r="AI14" s="3452">
        <v>129950</v>
      </c>
      <c r="AJ14" s="3452">
        <v>5141.2299999999996</v>
      </c>
      <c r="AK14" s="3452">
        <v>5912.42</v>
      </c>
      <c r="AL14" s="3452">
        <v>30847.41</v>
      </c>
      <c r="AM14" s="3452">
        <v>35474.53</v>
      </c>
      <c r="AN14" s="3452" t="s">
        <v>633</v>
      </c>
      <c r="AO14" s="3452" t="s">
        <v>633</v>
      </c>
      <c r="AP14" s="3452">
        <v>15</v>
      </c>
      <c r="AQ14" s="3452" t="s">
        <v>3505</v>
      </c>
      <c r="AR14" s="3452" t="s">
        <v>633</v>
      </c>
      <c r="AS14" s="3452" t="s">
        <v>633</v>
      </c>
      <c r="AT14" s="3452" t="s">
        <v>633</v>
      </c>
      <c r="AU14" s="3452" t="s">
        <v>3506</v>
      </c>
    </row>
    <row r="15" spans="1:47" s="3453" customFormat="1">
      <c r="A15" s="3453" t="s">
        <v>3619</v>
      </c>
      <c r="B15" s="3453" t="s">
        <v>3487</v>
      </c>
      <c r="C15" s="3453" t="s">
        <v>3488</v>
      </c>
      <c r="D15" s="3453" t="s">
        <v>3489</v>
      </c>
      <c r="E15" s="3453" t="s">
        <v>3620</v>
      </c>
      <c r="F15" s="3453" t="s">
        <v>3621</v>
      </c>
      <c r="G15" s="3453" t="s">
        <v>3622</v>
      </c>
      <c r="H15" s="3453">
        <v>31231.38</v>
      </c>
      <c r="I15" s="3453">
        <v>78078.45</v>
      </c>
      <c r="J15" s="3453">
        <v>2.5</v>
      </c>
      <c r="K15" s="3453" t="s">
        <v>3494</v>
      </c>
      <c r="L15" s="3453" t="s">
        <v>3495</v>
      </c>
      <c r="M15" s="3453">
        <v>5</v>
      </c>
      <c r="N15" s="3453" t="s">
        <v>633</v>
      </c>
      <c r="O15" s="3453" t="s">
        <v>3560</v>
      </c>
      <c r="P15" s="3453" t="s">
        <v>3623</v>
      </c>
      <c r="Q15" s="3453" t="s">
        <v>633</v>
      </c>
      <c r="R15" s="3453" t="s">
        <v>633</v>
      </c>
      <c r="S15" s="3453" t="s">
        <v>633</v>
      </c>
      <c r="T15" s="3453" t="s">
        <v>633</v>
      </c>
      <c r="U15" s="3453" t="s">
        <v>3624</v>
      </c>
      <c r="V15" s="3453" t="s">
        <v>3514</v>
      </c>
      <c r="W15" s="3453" t="s">
        <v>633</v>
      </c>
      <c r="X15" s="3453" t="s">
        <v>3498</v>
      </c>
      <c r="Y15" s="3453" t="s">
        <v>3625</v>
      </c>
      <c r="Z15" s="3453" t="s">
        <v>3626</v>
      </c>
      <c r="AA15" s="3453" t="s">
        <v>3627</v>
      </c>
      <c r="AB15" s="3453" t="s">
        <v>3627</v>
      </c>
      <c r="AC15" s="3453" t="s">
        <v>3622</v>
      </c>
      <c r="AD15" s="3453" t="s">
        <v>3502</v>
      </c>
      <c r="AE15" s="3453" t="s">
        <v>3628</v>
      </c>
      <c r="AF15" s="3453" t="s">
        <v>3629</v>
      </c>
      <c r="AG15" s="3453">
        <v>35000</v>
      </c>
      <c r="AH15" s="3453">
        <v>172000</v>
      </c>
      <c r="AI15" s="3453">
        <v>172000</v>
      </c>
      <c r="AJ15" s="3453">
        <v>3671.52</v>
      </c>
      <c r="AK15" s="3453">
        <v>3671.52</v>
      </c>
      <c r="AL15" s="3453">
        <v>22029.119999999999</v>
      </c>
      <c r="AM15" s="3453">
        <v>22029.13</v>
      </c>
      <c r="AN15" s="3453" t="s">
        <v>633</v>
      </c>
      <c r="AO15" s="3453" t="s">
        <v>633</v>
      </c>
      <c r="AP15" s="3453">
        <v>0</v>
      </c>
      <c r="AQ15" s="3453" t="s">
        <v>3520</v>
      </c>
      <c r="AR15" s="3453" t="s">
        <v>633</v>
      </c>
      <c r="AS15" s="3453" t="s">
        <v>633</v>
      </c>
      <c r="AT15" s="3453" t="s">
        <v>633</v>
      </c>
      <c r="AU15" s="3453" t="s">
        <v>3506</v>
      </c>
    </row>
    <row r="16" spans="1:47">
      <c r="A16" s="3452" t="s">
        <v>3630</v>
      </c>
      <c r="B16" s="3452" t="s">
        <v>3487</v>
      </c>
      <c r="C16" s="3452" t="s">
        <v>3488</v>
      </c>
      <c r="D16" s="3452" t="s">
        <v>3631</v>
      </c>
      <c r="E16" s="3452" t="s">
        <v>3632</v>
      </c>
      <c r="F16" s="3452" t="s">
        <v>3633</v>
      </c>
      <c r="G16" s="3452" t="s">
        <v>3634</v>
      </c>
      <c r="H16" s="3452">
        <v>30556.98</v>
      </c>
      <c r="I16" s="3452">
        <v>70795</v>
      </c>
      <c r="J16" s="3452">
        <v>2.3199999999999998</v>
      </c>
      <c r="K16" s="3452" t="s">
        <v>3494</v>
      </c>
      <c r="L16" s="3452" t="s">
        <v>3495</v>
      </c>
      <c r="M16" s="3452">
        <v>4</v>
      </c>
      <c r="N16" s="3452" t="s">
        <v>633</v>
      </c>
      <c r="O16" s="3452" t="s">
        <v>633</v>
      </c>
      <c r="P16" s="3452">
        <v>60</v>
      </c>
      <c r="Q16" s="3452" t="s">
        <v>633</v>
      </c>
      <c r="R16" s="3452" t="s">
        <v>633</v>
      </c>
      <c r="S16" s="3452" t="s">
        <v>633</v>
      </c>
      <c r="T16" s="3452" t="s">
        <v>633</v>
      </c>
      <c r="U16" s="3452" t="s">
        <v>3562</v>
      </c>
      <c r="V16" s="3452" t="s">
        <v>3497</v>
      </c>
      <c r="W16" s="3452" t="s">
        <v>3635</v>
      </c>
      <c r="X16" s="3452" t="s">
        <v>3498</v>
      </c>
      <c r="Y16" s="3452" t="s">
        <v>3636</v>
      </c>
      <c r="Z16" s="3452" t="s">
        <v>3637</v>
      </c>
      <c r="AA16" s="3452" t="s">
        <v>3638</v>
      </c>
      <c r="AB16" s="3452" t="s">
        <v>3639</v>
      </c>
      <c r="AC16" s="3452" t="s">
        <v>3634</v>
      </c>
      <c r="AD16" s="3452" t="s">
        <v>3502</v>
      </c>
      <c r="AE16" s="3452" t="s">
        <v>3640</v>
      </c>
      <c r="AF16" s="3452" t="s">
        <v>3641</v>
      </c>
      <c r="AG16" s="3452">
        <v>54000</v>
      </c>
      <c r="AH16" s="3452">
        <v>269000</v>
      </c>
      <c r="AI16" s="3452">
        <v>284000</v>
      </c>
      <c r="AJ16" s="3452">
        <v>5868.82</v>
      </c>
      <c r="AK16" s="3452">
        <v>6196.07</v>
      </c>
      <c r="AL16" s="3452">
        <v>37997.03</v>
      </c>
      <c r="AM16" s="3452">
        <v>40115.83</v>
      </c>
      <c r="AN16" s="3452" t="s">
        <v>633</v>
      </c>
      <c r="AO16" s="3452" t="s">
        <v>633</v>
      </c>
      <c r="AP16" s="3452">
        <v>5.58</v>
      </c>
      <c r="AQ16" s="3452" t="s">
        <v>3505</v>
      </c>
      <c r="AR16" s="3452" t="s">
        <v>633</v>
      </c>
      <c r="AS16" s="3452" t="s">
        <v>633</v>
      </c>
      <c r="AT16" s="3452" t="s">
        <v>633</v>
      </c>
      <c r="AU16" s="3452" t="s">
        <v>3642</v>
      </c>
    </row>
    <row r="17" spans="1:47" s="3453" customFormat="1">
      <c r="A17" s="3453" t="s">
        <v>3643</v>
      </c>
      <c r="B17" s="3453" t="s">
        <v>3487</v>
      </c>
      <c r="C17" s="3453" t="s">
        <v>3488</v>
      </c>
      <c r="D17" s="3453" t="s">
        <v>3644</v>
      </c>
      <c r="E17" s="3453" t="s">
        <v>3645</v>
      </c>
      <c r="F17" s="3453" t="s">
        <v>3646</v>
      </c>
      <c r="G17" s="3453" t="s">
        <v>3647</v>
      </c>
      <c r="H17" s="3453">
        <v>23004.15</v>
      </c>
      <c r="I17" s="3453">
        <v>32205.81</v>
      </c>
      <c r="J17" s="3453">
        <v>1.4</v>
      </c>
      <c r="K17" s="3453" t="s">
        <v>3494</v>
      </c>
      <c r="L17" s="3453" t="s">
        <v>3495</v>
      </c>
      <c r="M17" s="3453">
        <v>4</v>
      </c>
      <c r="N17" s="3453" t="s">
        <v>633</v>
      </c>
      <c r="O17" s="3453" t="s">
        <v>3560</v>
      </c>
      <c r="P17" s="3453">
        <v>18</v>
      </c>
      <c r="Q17" s="3453" t="s">
        <v>633</v>
      </c>
      <c r="R17" s="3453" t="s">
        <v>633</v>
      </c>
      <c r="S17" s="3453" t="s">
        <v>633</v>
      </c>
      <c r="T17" s="3453" t="s">
        <v>633</v>
      </c>
      <c r="U17" s="3453" t="s">
        <v>3562</v>
      </c>
      <c r="V17" s="3453" t="s">
        <v>3497</v>
      </c>
      <c r="W17" s="3453" t="s">
        <v>633</v>
      </c>
      <c r="X17" s="3453" t="s">
        <v>3498</v>
      </c>
      <c r="Y17" s="3453" t="s">
        <v>3636</v>
      </c>
      <c r="Z17" s="3453" t="s">
        <v>3637</v>
      </c>
      <c r="AA17" s="3453" t="s">
        <v>3638</v>
      </c>
      <c r="AB17" s="3453" t="s">
        <v>3638</v>
      </c>
      <c r="AC17" s="3453" t="s">
        <v>3647</v>
      </c>
      <c r="AD17" s="3453" t="s">
        <v>3502</v>
      </c>
      <c r="AE17" s="3453" t="s">
        <v>3648</v>
      </c>
      <c r="AF17" s="3453" t="s">
        <v>3649</v>
      </c>
      <c r="AG17" s="3453">
        <v>16000</v>
      </c>
      <c r="AH17" s="3453">
        <v>79000</v>
      </c>
      <c r="AI17" s="3453">
        <v>79000</v>
      </c>
      <c r="AJ17" s="3453">
        <v>2289.44</v>
      </c>
      <c r="AK17" s="3453">
        <v>2289.44</v>
      </c>
      <c r="AL17" s="3453">
        <v>24529.73</v>
      </c>
      <c r="AM17" s="3453">
        <v>24529.74</v>
      </c>
      <c r="AN17" s="3453" t="s">
        <v>633</v>
      </c>
      <c r="AO17" s="3453" t="s">
        <v>633</v>
      </c>
      <c r="AP17" s="3453">
        <v>0</v>
      </c>
      <c r="AQ17" s="3453" t="s">
        <v>3505</v>
      </c>
      <c r="AR17" s="3453" t="s">
        <v>633</v>
      </c>
      <c r="AS17" s="3453" t="s">
        <v>633</v>
      </c>
      <c r="AT17" s="3453" t="s">
        <v>633</v>
      </c>
      <c r="AU17" s="3453" t="s">
        <v>3506</v>
      </c>
    </row>
    <row r="18" spans="1:47">
      <c r="A18" s="3452" t="s">
        <v>3650</v>
      </c>
      <c r="B18" s="3452" t="s">
        <v>3487</v>
      </c>
      <c r="C18" s="3452" t="s">
        <v>3488</v>
      </c>
      <c r="D18" s="3452" t="s">
        <v>3523</v>
      </c>
      <c r="E18" s="3452" t="s">
        <v>633</v>
      </c>
      <c r="F18" s="3452" t="s">
        <v>3651</v>
      </c>
      <c r="G18" s="3452" t="s">
        <v>3652</v>
      </c>
      <c r="H18" s="3452">
        <v>24837.200000000001</v>
      </c>
      <c r="I18" s="3452">
        <v>49674.400000000001</v>
      </c>
      <c r="J18" s="3452">
        <v>2</v>
      </c>
      <c r="K18" s="3452" t="s">
        <v>3494</v>
      </c>
      <c r="L18" s="3452" t="s">
        <v>3495</v>
      </c>
      <c r="M18" s="3452">
        <v>4</v>
      </c>
      <c r="N18" s="3452" t="s">
        <v>633</v>
      </c>
      <c r="O18" s="3452" t="s">
        <v>633</v>
      </c>
      <c r="P18" s="3452">
        <v>36</v>
      </c>
      <c r="Q18" s="3452" t="s">
        <v>633</v>
      </c>
      <c r="R18" s="3452" t="s">
        <v>633</v>
      </c>
      <c r="S18" s="3452" t="s">
        <v>633</v>
      </c>
      <c r="T18" s="3452" t="s">
        <v>633</v>
      </c>
      <c r="U18" s="3452" t="s">
        <v>3653</v>
      </c>
      <c r="V18" s="3452" t="s">
        <v>3654</v>
      </c>
      <c r="W18" s="3452" t="s">
        <v>633</v>
      </c>
      <c r="X18" s="3452" t="s">
        <v>3498</v>
      </c>
      <c r="Y18" s="3452" t="s">
        <v>3636</v>
      </c>
      <c r="Z18" s="3452" t="s">
        <v>3637</v>
      </c>
      <c r="AA18" s="3452" t="s">
        <v>3638</v>
      </c>
      <c r="AB18" s="3452" t="s">
        <v>3638</v>
      </c>
      <c r="AC18" s="3452" t="s">
        <v>3652</v>
      </c>
      <c r="AD18" s="3452" t="s">
        <v>3502</v>
      </c>
      <c r="AE18" s="3452" t="s">
        <v>3655</v>
      </c>
      <c r="AF18" s="3452" t="s">
        <v>3656</v>
      </c>
      <c r="AG18" s="3452">
        <v>34000</v>
      </c>
      <c r="AH18" s="3452">
        <v>166000</v>
      </c>
      <c r="AI18" s="3452">
        <v>166900</v>
      </c>
      <c r="AJ18" s="3452">
        <v>4455.68</v>
      </c>
      <c r="AK18" s="3452">
        <v>4479.84</v>
      </c>
      <c r="AL18" s="3452">
        <v>33417.61</v>
      </c>
      <c r="AM18" s="3452">
        <v>33598.800000000003</v>
      </c>
      <c r="AN18" s="3452" t="s">
        <v>633</v>
      </c>
      <c r="AO18" s="3452" t="s">
        <v>633</v>
      </c>
      <c r="AP18" s="3452">
        <v>0.54</v>
      </c>
      <c r="AQ18" s="3452" t="s">
        <v>3657</v>
      </c>
      <c r="AR18" s="3452" t="s">
        <v>633</v>
      </c>
      <c r="AS18" s="3452" t="s">
        <v>633</v>
      </c>
      <c r="AT18" s="3452" t="s">
        <v>633</v>
      </c>
      <c r="AU18" s="3452" t="s">
        <v>3506</v>
      </c>
    </row>
    <row r="19" spans="1:47">
      <c r="A19" s="3452" t="s">
        <v>3658</v>
      </c>
      <c r="B19" s="3452" t="s">
        <v>3487</v>
      </c>
      <c r="C19" s="3452" t="s">
        <v>3488</v>
      </c>
      <c r="D19" s="3452" t="s">
        <v>3604</v>
      </c>
      <c r="E19" s="3452" t="s">
        <v>3614</v>
      </c>
      <c r="F19" s="3452" t="s">
        <v>3659</v>
      </c>
      <c r="G19" s="3452" t="s">
        <v>3660</v>
      </c>
      <c r="H19" s="3452">
        <v>32830.720000000001</v>
      </c>
      <c r="I19" s="3452">
        <v>90830.7</v>
      </c>
      <c r="J19" s="3452" t="s">
        <v>3661</v>
      </c>
      <c r="K19" s="3452" t="s">
        <v>3494</v>
      </c>
      <c r="L19" s="3452" t="s">
        <v>3495</v>
      </c>
      <c r="M19" s="3452" t="s">
        <v>3662</v>
      </c>
      <c r="N19" s="3452" t="s">
        <v>633</v>
      </c>
      <c r="O19" s="3452" t="s">
        <v>633</v>
      </c>
      <c r="P19" s="3452">
        <v>80</v>
      </c>
      <c r="Q19" s="3452" t="s">
        <v>633</v>
      </c>
      <c r="R19" s="3452" t="s">
        <v>633</v>
      </c>
      <c r="S19" s="3452" t="s">
        <v>633</v>
      </c>
      <c r="T19" s="3452" t="s">
        <v>633</v>
      </c>
      <c r="U19" s="3452" t="s">
        <v>3562</v>
      </c>
      <c r="V19" s="3452" t="s">
        <v>3497</v>
      </c>
      <c r="W19" s="3452" t="s">
        <v>3663</v>
      </c>
      <c r="X19" s="3452" t="s">
        <v>3498</v>
      </c>
      <c r="Y19" s="3452" t="s">
        <v>3664</v>
      </c>
      <c r="Z19" s="3452" t="s">
        <v>3665</v>
      </c>
      <c r="AA19" s="3452" t="s">
        <v>3666</v>
      </c>
      <c r="AB19" s="3452" t="s">
        <v>3667</v>
      </c>
      <c r="AC19" s="3452" t="s">
        <v>3660</v>
      </c>
      <c r="AD19" s="3452" t="s">
        <v>3502</v>
      </c>
      <c r="AE19" s="3452" t="s">
        <v>3668</v>
      </c>
      <c r="AF19" s="3452" t="s">
        <v>3669</v>
      </c>
      <c r="AG19" s="3452">
        <v>64000</v>
      </c>
      <c r="AH19" s="3452">
        <v>317000</v>
      </c>
      <c r="AI19" s="3452">
        <v>326600</v>
      </c>
      <c r="AJ19" s="3452">
        <v>6437.06</v>
      </c>
      <c r="AK19" s="3452">
        <v>6632</v>
      </c>
      <c r="AL19" s="3452">
        <v>34900.089999999997</v>
      </c>
      <c r="AM19" s="3452">
        <v>35957.01</v>
      </c>
      <c r="AN19" s="3452" t="s">
        <v>633</v>
      </c>
      <c r="AO19" s="3452" t="s">
        <v>633</v>
      </c>
      <c r="AP19" s="3452">
        <v>3.03</v>
      </c>
      <c r="AQ19" s="3452" t="s">
        <v>3520</v>
      </c>
      <c r="AR19" s="3452" t="s">
        <v>633</v>
      </c>
      <c r="AS19" s="3452" t="s">
        <v>633</v>
      </c>
      <c r="AT19" s="3452" t="s">
        <v>633</v>
      </c>
      <c r="AU19" s="3452" t="s">
        <v>3506</v>
      </c>
    </row>
    <row r="20" spans="1:47">
      <c r="A20" s="3452" t="s">
        <v>3670</v>
      </c>
      <c r="B20" s="3452" t="s">
        <v>3487</v>
      </c>
      <c r="C20" s="3452" t="s">
        <v>3488</v>
      </c>
      <c r="D20" s="3452" t="s">
        <v>3508</v>
      </c>
      <c r="E20" s="3452" t="s">
        <v>3569</v>
      </c>
      <c r="F20" s="3452" t="s">
        <v>3671</v>
      </c>
      <c r="G20" s="3452" t="s">
        <v>3672</v>
      </c>
      <c r="H20" s="3452">
        <v>21625</v>
      </c>
      <c r="I20" s="3452">
        <v>43250</v>
      </c>
      <c r="J20" s="3452" t="s">
        <v>3673</v>
      </c>
      <c r="K20" s="3452" t="s">
        <v>3494</v>
      </c>
      <c r="L20" s="3452" t="s">
        <v>3495</v>
      </c>
      <c r="M20" s="3452" t="s">
        <v>3662</v>
      </c>
      <c r="N20" s="3452" t="s">
        <v>633</v>
      </c>
      <c r="O20" s="3452" t="s">
        <v>3560</v>
      </c>
      <c r="P20" s="3452" t="s">
        <v>3674</v>
      </c>
      <c r="Q20" s="3452" t="s">
        <v>633</v>
      </c>
      <c r="R20" s="3452" t="s">
        <v>633</v>
      </c>
      <c r="S20" s="3452" t="s">
        <v>633</v>
      </c>
      <c r="T20" s="3452" t="s">
        <v>633</v>
      </c>
      <c r="U20" s="3452" t="s">
        <v>3675</v>
      </c>
      <c r="V20" s="3452" t="s">
        <v>3654</v>
      </c>
      <c r="W20" s="3452" t="s">
        <v>633</v>
      </c>
      <c r="X20" s="3452" t="s">
        <v>3498</v>
      </c>
      <c r="Y20" s="3452" t="s">
        <v>3664</v>
      </c>
      <c r="Z20" s="3452" t="s">
        <v>3665</v>
      </c>
      <c r="AA20" s="3452" t="s">
        <v>3666</v>
      </c>
      <c r="AB20" s="3452" t="s">
        <v>3666</v>
      </c>
      <c r="AC20" s="3452" t="s">
        <v>3672</v>
      </c>
      <c r="AD20" s="3452" t="s">
        <v>3502</v>
      </c>
      <c r="AE20" s="3452" t="s">
        <v>3676</v>
      </c>
      <c r="AF20" s="3452" t="s">
        <v>3677</v>
      </c>
      <c r="AG20" s="3452">
        <v>29000</v>
      </c>
      <c r="AH20" s="3452">
        <v>143000</v>
      </c>
      <c r="AI20" s="3452">
        <v>143000</v>
      </c>
      <c r="AJ20" s="3452">
        <v>4408.4799999999996</v>
      </c>
      <c r="AK20" s="3452">
        <v>4408.4799999999996</v>
      </c>
      <c r="AL20" s="3452">
        <v>33063.58</v>
      </c>
      <c r="AM20" s="3452">
        <v>33063.58</v>
      </c>
      <c r="AN20" s="3452" t="s">
        <v>633</v>
      </c>
      <c r="AO20" s="3452" t="s">
        <v>633</v>
      </c>
      <c r="AP20" s="3452">
        <v>0</v>
      </c>
      <c r="AQ20" s="3452" t="s">
        <v>3520</v>
      </c>
      <c r="AR20" s="3452" t="s">
        <v>633</v>
      </c>
      <c r="AS20" s="3452" t="s">
        <v>633</v>
      </c>
      <c r="AT20" s="3452" t="s">
        <v>633</v>
      </c>
      <c r="AU20" s="3452" t="s">
        <v>3521</v>
      </c>
    </row>
    <row r="21" spans="1:47">
      <c r="A21" s="3452" t="s">
        <v>3678</v>
      </c>
      <c r="B21" s="3452" t="s">
        <v>3487</v>
      </c>
      <c r="C21" s="3452" t="s">
        <v>3488</v>
      </c>
      <c r="D21" s="3452" t="s">
        <v>3679</v>
      </c>
      <c r="E21" s="3452" t="s">
        <v>3680</v>
      </c>
      <c r="F21" s="3452" t="s">
        <v>3681</v>
      </c>
      <c r="G21" s="3452" t="s">
        <v>3682</v>
      </c>
      <c r="H21" s="3452">
        <v>55570.2</v>
      </c>
      <c r="I21" s="3452">
        <v>122254.44</v>
      </c>
      <c r="J21" s="3452">
        <v>2.2000000000000002</v>
      </c>
      <c r="K21" s="3452" t="s">
        <v>3494</v>
      </c>
      <c r="L21" s="3452" t="s">
        <v>3495</v>
      </c>
      <c r="M21" s="3452" t="s">
        <v>3662</v>
      </c>
      <c r="N21" s="3452" t="s">
        <v>633</v>
      </c>
      <c r="O21" s="3452" t="s">
        <v>3560</v>
      </c>
      <c r="P21" s="3452" t="s">
        <v>3674</v>
      </c>
      <c r="Q21" s="3452" t="s">
        <v>633</v>
      </c>
      <c r="R21" s="3452" t="s">
        <v>633</v>
      </c>
      <c r="S21" s="3452" t="s">
        <v>633</v>
      </c>
      <c r="T21" s="3452" t="s">
        <v>633</v>
      </c>
      <c r="U21" s="3452" t="s">
        <v>3496</v>
      </c>
      <c r="V21" s="3452" t="s">
        <v>3497</v>
      </c>
      <c r="W21" s="3452" t="s">
        <v>3683</v>
      </c>
      <c r="X21" s="3452" t="s">
        <v>3498</v>
      </c>
      <c r="Y21" s="3452" t="s">
        <v>3664</v>
      </c>
      <c r="Z21" s="3452" t="s">
        <v>3665</v>
      </c>
      <c r="AA21" s="3452" t="s">
        <v>3666</v>
      </c>
      <c r="AB21" s="3452" t="s">
        <v>3666</v>
      </c>
      <c r="AC21" s="3452" t="s">
        <v>3682</v>
      </c>
      <c r="AD21" s="3452" t="s">
        <v>3502</v>
      </c>
      <c r="AE21" s="3452" t="s">
        <v>3684</v>
      </c>
      <c r="AF21" s="3452" t="s">
        <v>3685</v>
      </c>
      <c r="AG21" s="3452">
        <v>31000</v>
      </c>
      <c r="AH21" s="3452">
        <v>152000</v>
      </c>
      <c r="AI21" s="3452">
        <v>152000</v>
      </c>
      <c r="AJ21" s="3452">
        <v>1823.52</v>
      </c>
      <c r="AK21" s="3452">
        <v>1823.52</v>
      </c>
      <c r="AL21" s="3452">
        <v>12433.08</v>
      </c>
      <c r="AM21" s="3452">
        <v>12433.09</v>
      </c>
      <c r="AN21" s="3452" t="s">
        <v>633</v>
      </c>
      <c r="AO21" s="3452" t="s">
        <v>633</v>
      </c>
      <c r="AP21" s="3452">
        <v>0</v>
      </c>
      <c r="AQ21" s="3452" t="s">
        <v>3520</v>
      </c>
      <c r="AR21" s="3452" t="s">
        <v>633</v>
      </c>
      <c r="AS21" s="3452" t="s">
        <v>633</v>
      </c>
      <c r="AT21" s="3452" t="s">
        <v>633</v>
      </c>
      <c r="AU21" s="3452" t="s">
        <v>3686</v>
      </c>
    </row>
    <row r="22" spans="1:47">
      <c r="A22" s="3452" t="s">
        <v>3687</v>
      </c>
      <c r="B22" s="3452" t="s">
        <v>3487</v>
      </c>
      <c r="C22" s="3452" t="s">
        <v>3488</v>
      </c>
      <c r="D22" s="3452" t="s">
        <v>3679</v>
      </c>
      <c r="E22" s="3452" t="s">
        <v>3688</v>
      </c>
      <c r="F22" s="3452" t="s">
        <v>3689</v>
      </c>
      <c r="G22" s="3452" t="s">
        <v>3690</v>
      </c>
      <c r="H22" s="3452">
        <v>9953.99</v>
      </c>
      <c r="I22" s="3452">
        <v>19907.98</v>
      </c>
      <c r="J22" s="3452">
        <v>2</v>
      </c>
      <c r="K22" s="3452" t="s">
        <v>3494</v>
      </c>
      <c r="L22" s="3452" t="s">
        <v>3495</v>
      </c>
      <c r="M22" s="3452" t="s">
        <v>3662</v>
      </c>
      <c r="N22" s="3452" t="s">
        <v>633</v>
      </c>
      <c r="O22" s="3452" t="s">
        <v>633</v>
      </c>
      <c r="P22" s="3452">
        <v>30</v>
      </c>
      <c r="Q22" s="3452" t="s">
        <v>633</v>
      </c>
      <c r="R22" s="3452" t="s">
        <v>633</v>
      </c>
      <c r="S22" s="3452" t="s">
        <v>633</v>
      </c>
      <c r="T22" s="3452" t="s">
        <v>633</v>
      </c>
      <c r="U22" s="3452" t="s">
        <v>3496</v>
      </c>
      <c r="V22" s="3452" t="s">
        <v>3497</v>
      </c>
      <c r="W22" s="3452" t="s">
        <v>633</v>
      </c>
      <c r="X22" s="3452" t="s">
        <v>3498</v>
      </c>
      <c r="Y22" s="3452" t="s">
        <v>3664</v>
      </c>
      <c r="Z22" s="3452" t="s">
        <v>3665</v>
      </c>
      <c r="AA22" s="3452" t="s">
        <v>3666</v>
      </c>
      <c r="AB22" s="3452" t="s">
        <v>3666</v>
      </c>
      <c r="AC22" s="3452" t="s">
        <v>3690</v>
      </c>
      <c r="AD22" s="3452" t="s">
        <v>3502</v>
      </c>
      <c r="AE22" s="3452" t="s">
        <v>3691</v>
      </c>
      <c r="AF22" s="3452" t="s">
        <v>3692</v>
      </c>
      <c r="AG22" s="3452">
        <v>4000</v>
      </c>
      <c r="AH22" s="3452">
        <v>18000</v>
      </c>
      <c r="AI22" s="3452">
        <v>18000</v>
      </c>
      <c r="AJ22" s="3452">
        <v>1205.55</v>
      </c>
      <c r="AK22" s="3452">
        <v>1205.55</v>
      </c>
      <c r="AL22" s="3452">
        <v>9041.6</v>
      </c>
      <c r="AM22" s="3452">
        <v>9041.6</v>
      </c>
      <c r="AN22" s="3452" t="s">
        <v>633</v>
      </c>
      <c r="AO22" s="3452" t="s">
        <v>633</v>
      </c>
      <c r="AP22" s="3452">
        <v>0</v>
      </c>
      <c r="AQ22" s="3452" t="s">
        <v>3520</v>
      </c>
      <c r="AR22" s="3452" t="s">
        <v>633</v>
      </c>
      <c r="AS22" s="3452" t="s">
        <v>633</v>
      </c>
      <c r="AT22" s="3452" t="s">
        <v>633</v>
      </c>
      <c r="AU22" s="3452" t="s">
        <v>3521</v>
      </c>
    </row>
    <row r="23" spans="1:47">
      <c r="A23" s="3452" t="s">
        <v>3693</v>
      </c>
      <c r="B23" s="3452" t="s">
        <v>3487</v>
      </c>
      <c r="C23" s="3452" t="s">
        <v>3488</v>
      </c>
      <c r="D23" s="3452" t="s">
        <v>3545</v>
      </c>
      <c r="E23" s="3452" t="s">
        <v>3546</v>
      </c>
      <c r="F23" s="3452" t="s">
        <v>3575</v>
      </c>
      <c r="G23" s="3452" t="s">
        <v>3694</v>
      </c>
      <c r="H23" s="3452">
        <v>69193.56</v>
      </c>
      <c r="I23" s="3452">
        <v>110709.69</v>
      </c>
      <c r="J23" s="3452">
        <v>1.6</v>
      </c>
      <c r="K23" s="3452" t="s">
        <v>3494</v>
      </c>
      <c r="L23" s="3452" t="s">
        <v>3495</v>
      </c>
      <c r="M23" s="3452" t="s">
        <v>3662</v>
      </c>
      <c r="N23" s="3452" t="s">
        <v>633</v>
      </c>
      <c r="O23" s="3452" t="s">
        <v>3560</v>
      </c>
      <c r="P23" s="3452">
        <v>36</v>
      </c>
      <c r="Q23" s="3452" t="s">
        <v>633</v>
      </c>
      <c r="R23" s="3452" t="s">
        <v>633</v>
      </c>
      <c r="S23" s="3452" t="s">
        <v>633</v>
      </c>
      <c r="T23" s="3452" t="s">
        <v>633</v>
      </c>
      <c r="U23" s="3452" t="s">
        <v>3562</v>
      </c>
      <c r="V23" s="3452" t="s">
        <v>3497</v>
      </c>
      <c r="W23" s="3452" t="s">
        <v>633</v>
      </c>
      <c r="X23" s="3452" t="s">
        <v>3498</v>
      </c>
      <c r="Y23" s="3452" t="s">
        <v>3664</v>
      </c>
      <c r="Z23" s="3452" t="s">
        <v>3665</v>
      </c>
      <c r="AA23" s="3452" t="s">
        <v>3666</v>
      </c>
      <c r="AB23" s="3452" t="s">
        <v>3666</v>
      </c>
      <c r="AC23" s="3452" t="s">
        <v>3694</v>
      </c>
      <c r="AD23" s="3452" t="s">
        <v>3502</v>
      </c>
      <c r="AE23" s="3452" t="s">
        <v>3695</v>
      </c>
      <c r="AF23" s="3452" t="s">
        <v>3696</v>
      </c>
      <c r="AG23" s="3452">
        <v>49000</v>
      </c>
      <c r="AH23" s="3452">
        <v>243000</v>
      </c>
      <c r="AI23" s="3452">
        <v>243000</v>
      </c>
      <c r="AJ23" s="3452">
        <v>2341.2600000000002</v>
      </c>
      <c r="AK23" s="3452">
        <v>2341.2600000000002</v>
      </c>
      <c r="AL23" s="3452">
        <v>21949.29</v>
      </c>
      <c r="AM23" s="3452">
        <v>21949.3</v>
      </c>
      <c r="AN23" s="3452" t="s">
        <v>633</v>
      </c>
      <c r="AO23" s="3452" t="s">
        <v>633</v>
      </c>
      <c r="AP23" s="3452">
        <v>0</v>
      </c>
      <c r="AQ23" s="3452" t="s">
        <v>3520</v>
      </c>
      <c r="AR23" s="3452" t="s">
        <v>633</v>
      </c>
      <c r="AS23" s="3452" t="s">
        <v>633</v>
      </c>
      <c r="AT23" s="3452" t="s">
        <v>633</v>
      </c>
      <c r="AU23" s="3452" t="s">
        <v>3521</v>
      </c>
    </row>
    <row r="24" spans="1:47">
      <c r="A24" s="3452" t="s">
        <v>3697</v>
      </c>
      <c r="B24" s="3452" t="s">
        <v>3487</v>
      </c>
      <c r="C24" s="3452" t="s">
        <v>3488</v>
      </c>
      <c r="D24" s="3452" t="s">
        <v>3604</v>
      </c>
      <c r="E24" s="3452" t="s">
        <v>3698</v>
      </c>
      <c r="F24" s="3452" t="s">
        <v>3699</v>
      </c>
      <c r="G24" s="3452" t="s">
        <v>3700</v>
      </c>
      <c r="H24" s="3452">
        <v>50073.34</v>
      </c>
      <c r="I24" s="3452">
        <v>125183.35</v>
      </c>
      <c r="J24" s="3452" t="s">
        <v>3701</v>
      </c>
      <c r="K24" s="3452" t="s">
        <v>3494</v>
      </c>
      <c r="L24" s="3452" t="s">
        <v>3495</v>
      </c>
      <c r="M24" s="3452" t="s">
        <v>3702</v>
      </c>
      <c r="N24" s="3452" t="s">
        <v>633</v>
      </c>
      <c r="O24" s="3452" t="s">
        <v>633</v>
      </c>
      <c r="P24" s="3452">
        <v>60</v>
      </c>
      <c r="Q24" s="3452" t="s">
        <v>633</v>
      </c>
      <c r="R24" s="3452" t="s">
        <v>633</v>
      </c>
      <c r="S24" s="3452" t="s">
        <v>633</v>
      </c>
      <c r="T24" s="3452" t="s">
        <v>633</v>
      </c>
      <c r="U24" s="3452" t="s">
        <v>3703</v>
      </c>
      <c r="V24" s="3452" t="s">
        <v>3704</v>
      </c>
      <c r="W24" s="3452" t="s">
        <v>3705</v>
      </c>
      <c r="X24" s="3452" t="s">
        <v>3498</v>
      </c>
      <c r="Y24" s="3452" t="s">
        <v>3706</v>
      </c>
      <c r="Z24" s="3452" t="s">
        <v>3707</v>
      </c>
      <c r="AA24" s="3452" t="s">
        <v>3708</v>
      </c>
      <c r="AB24" s="3452" t="s">
        <v>3709</v>
      </c>
      <c r="AC24" s="3452" t="s">
        <v>3700</v>
      </c>
      <c r="AD24" s="3452" t="s">
        <v>3502</v>
      </c>
      <c r="AE24" s="3452" t="s">
        <v>3710</v>
      </c>
      <c r="AF24" s="3452" t="s">
        <v>3711</v>
      </c>
      <c r="AG24" s="3452">
        <v>77000</v>
      </c>
      <c r="AH24" s="3452">
        <v>384000</v>
      </c>
      <c r="AI24" s="3452">
        <v>441600</v>
      </c>
      <c r="AJ24" s="3452">
        <v>5112.5</v>
      </c>
      <c r="AK24" s="3452">
        <v>5879.38</v>
      </c>
      <c r="AL24" s="3452">
        <v>30675</v>
      </c>
      <c r="AM24" s="3452">
        <v>35276.26</v>
      </c>
      <c r="AN24" s="3452" t="s">
        <v>633</v>
      </c>
      <c r="AO24" s="3452" t="s">
        <v>633</v>
      </c>
      <c r="AP24" s="3452">
        <v>15</v>
      </c>
      <c r="AQ24" s="3452" t="s">
        <v>3712</v>
      </c>
      <c r="AR24" s="3452" t="s">
        <v>633</v>
      </c>
      <c r="AS24" s="3452" t="s">
        <v>633</v>
      </c>
      <c r="AT24" s="3452" t="s">
        <v>633</v>
      </c>
      <c r="AU24" s="3452" t="s">
        <v>3506</v>
      </c>
    </row>
    <row r="25" spans="1:47">
      <c r="A25" s="3452" t="s">
        <v>3713</v>
      </c>
      <c r="B25" s="3452" t="s">
        <v>3487</v>
      </c>
      <c r="C25" s="3452" t="s">
        <v>3488</v>
      </c>
      <c r="D25" s="3452" t="s">
        <v>3604</v>
      </c>
      <c r="E25" s="3452" t="s">
        <v>633</v>
      </c>
      <c r="F25" s="3452" t="s">
        <v>3714</v>
      </c>
      <c r="G25" s="3452" t="s">
        <v>3715</v>
      </c>
      <c r="H25" s="3452">
        <v>96819.61</v>
      </c>
      <c r="I25" s="3452">
        <v>174275</v>
      </c>
      <c r="J25" s="3452" t="s">
        <v>3716</v>
      </c>
      <c r="K25" s="3452" t="s">
        <v>3494</v>
      </c>
      <c r="L25" s="3452" t="s">
        <v>3495</v>
      </c>
      <c r="M25" s="3452" t="s">
        <v>3702</v>
      </c>
      <c r="N25" s="3452" t="s">
        <v>633</v>
      </c>
      <c r="O25" s="3452" t="s">
        <v>633</v>
      </c>
      <c r="P25" s="3452">
        <v>30</v>
      </c>
      <c r="Q25" s="3452" t="s">
        <v>633</v>
      </c>
      <c r="R25" s="3452" t="s">
        <v>633</v>
      </c>
      <c r="S25" s="3452" t="s">
        <v>633</v>
      </c>
      <c r="T25" s="3452" t="s">
        <v>633</v>
      </c>
      <c r="U25" s="3452" t="s">
        <v>3717</v>
      </c>
      <c r="V25" s="3452" t="s">
        <v>3718</v>
      </c>
      <c r="W25" s="3452" t="s">
        <v>633</v>
      </c>
      <c r="X25" s="3452" t="s">
        <v>3498</v>
      </c>
      <c r="Y25" s="3452" t="s">
        <v>3706</v>
      </c>
      <c r="Z25" s="3452" t="s">
        <v>3707</v>
      </c>
      <c r="AA25" s="3452" t="s">
        <v>3708</v>
      </c>
      <c r="AB25" s="3452" t="s">
        <v>3708</v>
      </c>
      <c r="AC25" s="3452" t="s">
        <v>3715</v>
      </c>
      <c r="AD25" s="3452" t="s">
        <v>3502</v>
      </c>
      <c r="AE25" s="3452" t="s">
        <v>3656</v>
      </c>
      <c r="AF25" s="3452" t="s">
        <v>3656</v>
      </c>
      <c r="AG25" s="3452">
        <v>46000</v>
      </c>
      <c r="AH25" s="3452">
        <v>226000</v>
      </c>
      <c r="AI25" s="3452">
        <v>226000</v>
      </c>
      <c r="AJ25" s="3452">
        <v>1556.16</v>
      </c>
      <c r="AK25" s="3452">
        <v>1556.16</v>
      </c>
      <c r="AL25" s="3452">
        <v>12968.01</v>
      </c>
      <c r="AM25" s="3452">
        <v>12968.01</v>
      </c>
      <c r="AN25" s="3452" t="s">
        <v>633</v>
      </c>
      <c r="AO25" s="3452" t="s">
        <v>633</v>
      </c>
      <c r="AP25" s="3452">
        <v>0</v>
      </c>
      <c r="AQ25" s="3452" t="s">
        <v>3712</v>
      </c>
      <c r="AR25" s="3452" t="s">
        <v>633</v>
      </c>
      <c r="AS25" s="3452" t="s">
        <v>633</v>
      </c>
      <c r="AT25" s="3452" t="s">
        <v>633</v>
      </c>
      <c r="AU25" s="3452" t="s">
        <v>3521</v>
      </c>
    </row>
    <row r="26" spans="1:47">
      <c r="A26" s="3452" t="s">
        <v>3719</v>
      </c>
      <c r="B26" s="3452" t="s">
        <v>3487</v>
      </c>
      <c r="C26" s="3452" t="s">
        <v>3488</v>
      </c>
      <c r="D26" s="3452" t="s">
        <v>3508</v>
      </c>
      <c r="E26" s="3452" t="s">
        <v>3569</v>
      </c>
      <c r="F26" s="3452" t="s">
        <v>3720</v>
      </c>
      <c r="G26" s="3452" t="s">
        <v>3721</v>
      </c>
      <c r="H26" s="3452">
        <v>22115.200000000001</v>
      </c>
      <c r="I26" s="3452">
        <v>44230.400000000001</v>
      </c>
      <c r="J26" s="3452">
        <v>2</v>
      </c>
      <c r="K26" s="3452" t="s">
        <v>3494</v>
      </c>
      <c r="L26" s="3452" t="s">
        <v>3495</v>
      </c>
      <c r="M26" s="3452" t="s">
        <v>3722</v>
      </c>
      <c r="N26" s="3452" t="s">
        <v>633</v>
      </c>
      <c r="O26" s="3452" t="s">
        <v>3560</v>
      </c>
      <c r="P26" s="3452">
        <v>45</v>
      </c>
      <c r="Q26" s="3452" t="s">
        <v>633</v>
      </c>
      <c r="R26" s="3452" t="s">
        <v>633</v>
      </c>
      <c r="S26" s="3452" t="s">
        <v>633</v>
      </c>
      <c r="T26" s="3452" t="s">
        <v>633</v>
      </c>
      <c r="U26" s="3452" t="s">
        <v>3723</v>
      </c>
      <c r="V26" s="3452" t="s">
        <v>3718</v>
      </c>
      <c r="W26" s="3452" t="s">
        <v>633</v>
      </c>
      <c r="X26" s="3452" t="s">
        <v>3498</v>
      </c>
      <c r="Y26" s="3452" t="s">
        <v>3724</v>
      </c>
      <c r="Z26" s="3452" t="s">
        <v>3725</v>
      </c>
      <c r="AA26" s="3452" t="s">
        <v>3726</v>
      </c>
      <c r="AB26" s="3452" t="s">
        <v>3727</v>
      </c>
      <c r="AC26" s="3452" t="s">
        <v>3721</v>
      </c>
      <c r="AD26" s="3452" t="s">
        <v>3502</v>
      </c>
      <c r="AE26" s="3452" t="s">
        <v>3728</v>
      </c>
      <c r="AF26" s="3452" t="s">
        <v>3729</v>
      </c>
      <c r="AG26" s="3452">
        <v>30000</v>
      </c>
      <c r="AH26" s="3452">
        <v>146000</v>
      </c>
      <c r="AI26" s="3452">
        <v>147600</v>
      </c>
      <c r="AJ26" s="3452">
        <v>4401.2</v>
      </c>
      <c r="AK26" s="3452">
        <v>4449.43</v>
      </c>
      <c r="AL26" s="3452">
        <v>33008.97</v>
      </c>
      <c r="AM26" s="3452">
        <v>33370.71</v>
      </c>
      <c r="AN26" s="3452" t="s">
        <v>633</v>
      </c>
      <c r="AO26" s="3452" t="s">
        <v>633</v>
      </c>
      <c r="AP26" s="3452">
        <v>1.1000000000000001</v>
      </c>
      <c r="AQ26" s="3452" t="s">
        <v>3595</v>
      </c>
      <c r="AR26" s="3452" t="s">
        <v>633</v>
      </c>
      <c r="AS26" s="3452" t="s">
        <v>633</v>
      </c>
      <c r="AT26" s="3452" t="s">
        <v>633</v>
      </c>
      <c r="AU26" s="3452" t="s">
        <v>3506</v>
      </c>
    </row>
    <row r="27" spans="1:47">
      <c r="A27" s="3452" t="s">
        <v>3730</v>
      </c>
      <c r="B27" s="3452" t="s">
        <v>3487</v>
      </c>
      <c r="C27" s="3452" t="s">
        <v>3488</v>
      </c>
      <c r="D27" s="3452" t="s">
        <v>3508</v>
      </c>
      <c r="E27" s="3452" t="s">
        <v>633</v>
      </c>
      <c r="F27" s="3452" t="s">
        <v>3731</v>
      </c>
      <c r="G27" s="3452" t="s">
        <v>3732</v>
      </c>
      <c r="H27" s="3452">
        <v>23519.8</v>
      </c>
      <c r="I27" s="3452">
        <v>58799.5</v>
      </c>
      <c r="J27" s="3452">
        <v>2.5</v>
      </c>
      <c r="K27" s="3452" t="s">
        <v>3494</v>
      </c>
      <c r="L27" s="3452" t="s">
        <v>3495</v>
      </c>
      <c r="M27" s="3452" t="s">
        <v>3722</v>
      </c>
      <c r="N27" s="3452">
        <v>0</v>
      </c>
      <c r="O27" s="3452" t="s">
        <v>633</v>
      </c>
      <c r="P27" s="3452">
        <v>60</v>
      </c>
      <c r="Q27" s="3452" t="s">
        <v>633</v>
      </c>
      <c r="R27" s="3452" t="s">
        <v>633</v>
      </c>
      <c r="S27" s="3452" t="s">
        <v>633</v>
      </c>
      <c r="T27" s="3452" t="s">
        <v>633</v>
      </c>
      <c r="U27" s="3452" t="s">
        <v>3733</v>
      </c>
      <c r="V27" s="3452" t="s">
        <v>3734</v>
      </c>
      <c r="W27" s="3452" t="s">
        <v>633</v>
      </c>
      <c r="X27" s="3452" t="s">
        <v>3498</v>
      </c>
      <c r="Y27" s="3452" t="s">
        <v>3724</v>
      </c>
      <c r="Z27" s="3452" t="s">
        <v>3725</v>
      </c>
      <c r="AA27" s="3452" t="s">
        <v>3726</v>
      </c>
      <c r="AB27" s="3452" t="s">
        <v>3727</v>
      </c>
      <c r="AC27" s="3452" t="s">
        <v>3735</v>
      </c>
      <c r="AD27" s="3452" t="s">
        <v>3502</v>
      </c>
      <c r="AE27" s="3452" t="s">
        <v>3736</v>
      </c>
      <c r="AF27" s="3452" t="s">
        <v>3641</v>
      </c>
      <c r="AG27" s="3452">
        <v>45000</v>
      </c>
      <c r="AH27" s="3452">
        <v>223000</v>
      </c>
      <c r="AI27" s="3452">
        <v>248000</v>
      </c>
      <c r="AJ27" s="3452">
        <v>6320.92</v>
      </c>
      <c r="AK27" s="3452">
        <v>7029.54</v>
      </c>
      <c r="AL27" s="3452">
        <v>37925.49</v>
      </c>
      <c r="AM27" s="3452">
        <v>42177.23</v>
      </c>
      <c r="AN27" s="3452" t="s">
        <v>633</v>
      </c>
      <c r="AO27" s="3452" t="s">
        <v>633</v>
      </c>
      <c r="AP27" s="3452">
        <v>11.21</v>
      </c>
      <c r="AQ27" s="3452" t="s">
        <v>3595</v>
      </c>
      <c r="AR27" s="3452" t="s">
        <v>633</v>
      </c>
      <c r="AS27" s="3452" t="s">
        <v>633</v>
      </c>
      <c r="AT27" s="3452" t="s">
        <v>633</v>
      </c>
      <c r="AU27" s="3452" t="s">
        <v>3521</v>
      </c>
    </row>
    <row r="28" spans="1:47">
      <c r="A28" s="3452" t="s">
        <v>3737</v>
      </c>
      <c r="B28" s="3452" t="s">
        <v>3487</v>
      </c>
      <c r="C28" s="3452" t="s">
        <v>3488</v>
      </c>
      <c r="D28" s="3452" t="s">
        <v>3604</v>
      </c>
      <c r="E28" s="3452" t="s">
        <v>3614</v>
      </c>
      <c r="F28" s="3452" t="s">
        <v>3659</v>
      </c>
      <c r="G28" s="3452" t="s">
        <v>3738</v>
      </c>
      <c r="H28" s="3452">
        <v>25642.1</v>
      </c>
      <c r="I28" s="3452">
        <v>71797.87</v>
      </c>
      <c r="J28" s="3452">
        <v>2.8</v>
      </c>
      <c r="K28" s="3452" t="s">
        <v>3494</v>
      </c>
      <c r="L28" s="3452" t="s">
        <v>3495</v>
      </c>
      <c r="M28" s="3452" t="s">
        <v>3722</v>
      </c>
      <c r="N28" s="3452">
        <v>0</v>
      </c>
      <c r="O28" s="3452" t="s">
        <v>633</v>
      </c>
      <c r="P28" s="3452">
        <v>80</v>
      </c>
      <c r="Q28" s="3452" t="s">
        <v>3739</v>
      </c>
      <c r="R28" s="3452" t="s">
        <v>633</v>
      </c>
      <c r="S28" s="3452" t="s">
        <v>633</v>
      </c>
      <c r="T28" s="3452" t="s">
        <v>633</v>
      </c>
      <c r="U28" s="3452" t="s">
        <v>3740</v>
      </c>
      <c r="V28" s="3452" t="s">
        <v>3718</v>
      </c>
      <c r="W28" s="3452" t="s">
        <v>633</v>
      </c>
      <c r="X28" s="3452" t="s">
        <v>3498</v>
      </c>
      <c r="Y28" s="3452" t="s">
        <v>3724</v>
      </c>
      <c r="Z28" s="3452" t="s">
        <v>3725</v>
      </c>
      <c r="AA28" s="3452" t="s">
        <v>3726</v>
      </c>
      <c r="AB28" s="3452" t="s">
        <v>3727</v>
      </c>
      <c r="AC28" s="3452" t="s">
        <v>3738</v>
      </c>
      <c r="AD28" s="3452" t="s">
        <v>3502</v>
      </c>
      <c r="AE28" s="3452" t="s">
        <v>3741</v>
      </c>
      <c r="AF28" s="3452" t="s">
        <v>3669</v>
      </c>
      <c r="AG28" s="3452">
        <v>49000</v>
      </c>
      <c r="AH28" s="3452">
        <v>241000</v>
      </c>
      <c r="AI28" s="3452">
        <v>277150</v>
      </c>
      <c r="AJ28" s="3452">
        <v>6265.74</v>
      </c>
      <c r="AK28" s="3452">
        <v>7205.6</v>
      </c>
      <c r="AL28" s="3452">
        <v>33566.449999999997</v>
      </c>
      <c r="AM28" s="3452">
        <v>38601.42</v>
      </c>
      <c r="AN28" s="3452" t="s">
        <v>633</v>
      </c>
      <c r="AO28" s="3452" t="s">
        <v>633</v>
      </c>
      <c r="AP28" s="3452">
        <v>15</v>
      </c>
      <c r="AQ28" s="3452" t="s">
        <v>3595</v>
      </c>
      <c r="AR28" s="3452" t="s">
        <v>633</v>
      </c>
      <c r="AS28" s="3452" t="s">
        <v>633</v>
      </c>
      <c r="AT28" s="3452" t="s">
        <v>633</v>
      </c>
      <c r="AU28" s="3452" t="s">
        <v>3506</v>
      </c>
    </row>
    <row r="29" spans="1:47">
      <c r="A29" s="3452" t="s">
        <v>3742</v>
      </c>
      <c r="B29" s="3452" t="s">
        <v>3487</v>
      </c>
      <c r="C29" s="3452" t="s">
        <v>3488</v>
      </c>
      <c r="D29" s="3452" t="s">
        <v>3631</v>
      </c>
      <c r="E29" s="3452" t="s">
        <v>3632</v>
      </c>
      <c r="F29" s="3452" t="s">
        <v>3743</v>
      </c>
      <c r="G29" s="3452" t="s">
        <v>3744</v>
      </c>
      <c r="H29" s="3452">
        <v>16391.759999999998</v>
      </c>
      <c r="I29" s="3452">
        <v>45896</v>
      </c>
      <c r="J29" s="3452">
        <v>2.8</v>
      </c>
      <c r="K29" s="3452" t="s">
        <v>3494</v>
      </c>
      <c r="L29" s="3452" t="s">
        <v>3495</v>
      </c>
      <c r="M29" s="3452" t="s">
        <v>3722</v>
      </c>
      <c r="N29" s="3452" t="s">
        <v>633</v>
      </c>
      <c r="O29" s="3452" t="s">
        <v>633</v>
      </c>
      <c r="P29" s="3452">
        <v>60</v>
      </c>
      <c r="Q29" s="3452" t="s">
        <v>633</v>
      </c>
      <c r="R29" s="3452" t="s">
        <v>633</v>
      </c>
      <c r="S29" s="3452" t="s">
        <v>633</v>
      </c>
      <c r="T29" s="3452" t="s">
        <v>633</v>
      </c>
      <c r="U29" s="3452" t="s">
        <v>3723</v>
      </c>
      <c r="V29" s="3452" t="s">
        <v>3718</v>
      </c>
      <c r="W29" s="3452" t="s">
        <v>3745</v>
      </c>
      <c r="X29" s="3452" t="s">
        <v>3498</v>
      </c>
      <c r="Y29" s="3452" t="s">
        <v>3724</v>
      </c>
      <c r="Z29" s="3452" t="s">
        <v>3725</v>
      </c>
      <c r="AA29" s="3452" t="s">
        <v>3726</v>
      </c>
      <c r="AB29" s="3452" t="s">
        <v>3727</v>
      </c>
      <c r="AC29" s="3452" t="s">
        <v>3744</v>
      </c>
      <c r="AD29" s="3452" t="s">
        <v>3502</v>
      </c>
      <c r="AE29" s="3452" t="s">
        <v>3746</v>
      </c>
      <c r="AF29" s="3452" t="s">
        <v>3747</v>
      </c>
      <c r="AG29" s="3452">
        <v>46000</v>
      </c>
      <c r="AH29" s="3452">
        <v>227000</v>
      </c>
      <c r="AI29" s="3452">
        <v>228200</v>
      </c>
      <c r="AJ29" s="3452">
        <v>9232.2800000000007</v>
      </c>
      <c r="AK29" s="3452">
        <v>9281.09</v>
      </c>
      <c r="AL29" s="3452">
        <v>49459.65</v>
      </c>
      <c r="AM29" s="3452">
        <v>49721.11</v>
      </c>
      <c r="AN29" s="3452" t="s">
        <v>633</v>
      </c>
      <c r="AO29" s="3452" t="s">
        <v>633</v>
      </c>
      <c r="AP29" s="3452">
        <v>0.53</v>
      </c>
      <c r="AQ29" s="3452" t="s">
        <v>3595</v>
      </c>
      <c r="AR29" s="3452" t="s">
        <v>633</v>
      </c>
      <c r="AS29" s="3452" t="s">
        <v>633</v>
      </c>
      <c r="AT29" s="3452" t="s">
        <v>633</v>
      </c>
      <c r="AU29" s="3452" t="s">
        <v>3506</v>
      </c>
    </row>
    <row r="30" spans="1:47">
      <c r="A30" s="3452" t="s">
        <v>3748</v>
      </c>
      <c r="B30" s="3452" t="s">
        <v>3487</v>
      </c>
      <c r="C30" s="3452" t="s">
        <v>3488</v>
      </c>
      <c r="D30" s="3452" t="s">
        <v>3545</v>
      </c>
      <c r="E30" s="3452" t="s">
        <v>3749</v>
      </c>
      <c r="F30" s="3452" t="s">
        <v>3750</v>
      </c>
      <c r="G30" s="3452" t="s">
        <v>3751</v>
      </c>
      <c r="H30" s="3452">
        <v>51409.62</v>
      </c>
      <c r="I30" s="3452">
        <v>83593.919999999998</v>
      </c>
      <c r="J30" s="3452">
        <v>1.6</v>
      </c>
      <c r="K30" s="3452" t="s">
        <v>3494</v>
      </c>
      <c r="L30" s="3452" t="s">
        <v>3495</v>
      </c>
      <c r="M30" s="3452" t="s">
        <v>3722</v>
      </c>
      <c r="N30" s="3452" t="s">
        <v>633</v>
      </c>
      <c r="O30" s="3452" t="s">
        <v>3560</v>
      </c>
      <c r="P30" s="3452">
        <v>30</v>
      </c>
      <c r="Q30" s="3452" t="s">
        <v>633</v>
      </c>
      <c r="R30" s="3452" t="s">
        <v>633</v>
      </c>
      <c r="S30" s="3452" t="s">
        <v>633</v>
      </c>
      <c r="T30" s="3452" t="s">
        <v>633</v>
      </c>
      <c r="U30" s="3452" t="s">
        <v>3717</v>
      </c>
      <c r="V30" s="3452" t="s">
        <v>3718</v>
      </c>
      <c r="W30" s="3452" t="s">
        <v>633</v>
      </c>
      <c r="X30" s="3452" t="s">
        <v>3752</v>
      </c>
      <c r="Y30" s="3452" t="s">
        <v>3724</v>
      </c>
      <c r="Z30" s="3452" t="s">
        <v>3725</v>
      </c>
      <c r="AA30" s="3452" t="s">
        <v>3726</v>
      </c>
      <c r="AB30" s="3452" t="s">
        <v>3726</v>
      </c>
      <c r="AC30" s="3452" t="s">
        <v>3751</v>
      </c>
      <c r="AD30" s="3452" t="s">
        <v>3502</v>
      </c>
      <c r="AE30" s="3452" t="s">
        <v>3753</v>
      </c>
      <c r="AF30" s="3452" t="s">
        <v>3754</v>
      </c>
      <c r="AG30" s="3452">
        <v>34000</v>
      </c>
      <c r="AH30" s="3452">
        <v>166000</v>
      </c>
      <c r="AI30" s="3452">
        <v>166000</v>
      </c>
      <c r="AJ30" s="3452">
        <v>2152.65</v>
      </c>
      <c r="AK30" s="3452">
        <v>2152.65</v>
      </c>
      <c r="AL30" s="3452">
        <v>19857.900000000001</v>
      </c>
      <c r="AM30" s="3452">
        <v>19857.900000000001</v>
      </c>
      <c r="AN30" s="3452" t="s">
        <v>633</v>
      </c>
      <c r="AO30" s="3452" t="s">
        <v>633</v>
      </c>
      <c r="AP30" s="3452">
        <v>0</v>
      </c>
      <c r="AQ30" s="3452" t="s">
        <v>3595</v>
      </c>
      <c r="AR30" s="3452" t="s">
        <v>633</v>
      </c>
      <c r="AS30" s="3452" t="s">
        <v>633</v>
      </c>
      <c r="AT30" s="3452" t="s">
        <v>633</v>
      </c>
      <c r="AU30" s="3452" t="s">
        <v>3506</v>
      </c>
    </row>
    <row r="31" spans="1:47">
      <c r="A31" s="3452" t="s">
        <v>3755</v>
      </c>
      <c r="B31" s="3452" t="s">
        <v>3487</v>
      </c>
      <c r="C31" s="3452" t="s">
        <v>3488</v>
      </c>
      <c r="D31" s="3452" t="s">
        <v>3489</v>
      </c>
      <c r="E31" s="3452" t="s">
        <v>3620</v>
      </c>
      <c r="F31" s="3452" t="s">
        <v>3756</v>
      </c>
      <c r="G31" s="3452" t="s">
        <v>3757</v>
      </c>
      <c r="H31" s="3452">
        <v>32057.19</v>
      </c>
      <c r="I31" s="3452">
        <v>51292</v>
      </c>
      <c r="J31" s="3452">
        <v>1.6</v>
      </c>
      <c r="K31" s="3452" t="s">
        <v>3494</v>
      </c>
      <c r="L31" s="3452" t="s">
        <v>3495</v>
      </c>
      <c r="M31" s="3452" t="s">
        <v>3722</v>
      </c>
      <c r="N31" s="3452" t="s">
        <v>633</v>
      </c>
      <c r="O31" s="3452" t="s">
        <v>3560</v>
      </c>
      <c r="P31" s="3452">
        <v>18</v>
      </c>
      <c r="Q31" s="3452" t="s">
        <v>633</v>
      </c>
      <c r="R31" s="3452" t="s">
        <v>633</v>
      </c>
      <c r="S31" s="3452" t="s">
        <v>633</v>
      </c>
      <c r="T31" s="3452" t="s">
        <v>633</v>
      </c>
      <c r="U31" s="3452" t="s">
        <v>3758</v>
      </c>
      <c r="V31" s="3452" t="s">
        <v>3734</v>
      </c>
      <c r="W31" s="3452" t="s">
        <v>633</v>
      </c>
      <c r="X31" s="3452" t="s">
        <v>3498</v>
      </c>
      <c r="Y31" s="3452" t="s">
        <v>3724</v>
      </c>
      <c r="Z31" s="3452" t="s">
        <v>3725</v>
      </c>
      <c r="AA31" s="3452" t="s">
        <v>3726</v>
      </c>
      <c r="AB31" s="3452" t="s">
        <v>3726</v>
      </c>
      <c r="AC31" s="3452" t="s">
        <v>3757</v>
      </c>
      <c r="AD31" s="3452" t="s">
        <v>3502</v>
      </c>
      <c r="AE31" s="3452" t="s">
        <v>3628</v>
      </c>
      <c r="AF31" s="3452" t="s">
        <v>3629</v>
      </c>
      <c r="AG31" s="3452">
        <v>17000</v>
      </c>
      <c r="AH31" s="3452">
        <v>81000</v>
      </c>
      <c r="AI31" s="3452">
        <v>81000</v>
      </c>
      <c r="AJ31" s="3452">
        <v>1684.49</v>
      </c>
      <c r="AK31" s="3452">
        <v>1684.49</v>
      </c>
      <c r="AL31" s="3452">
        <v>15791.93</v>
      </c>
      <c r="AM31" s="3452">
        <v>15791.94</v>
      </c>
      <c r="AN31" s="3452" t="s">
        <v>633</v>
      </c>
      <c r="AO31" s="3452" t="s">
        <v>633</v>
      </c>
      <c r="AP31" s="3452">
        <v>0</v>
      </c>
      <c r="AQ31" s="3452" t="s">
        <v>3595</v>
      </c>
      <c r="AR31" s="3452" t="s">
        <v>633</v>
      </c>
      <c r="AS31" s="3452" t="s">
        <v>633</v>
      </c>
      <c r="AT31" s="3452" t="s">
        <v>633</v>
      </c>
      <c r="AU31" s="3452" t="s">
        <v>3521</v>
      </c>
    </row>
    <row r="32" spans="1:47">
      <c r="A32" s="3452" t="s">
        <v>3759</v>
      </c>
      <c r="B32" s="3452" t="s">
        <v>3487</v>
      </c>
      <c r="C32" s="3452" t="s">
        <v>3488</v>
      </c>
      <c r="D32" s="3452" t="s">
        <v>3604</v>
      </c>
      <c r="E32" s="3452" t="s">
        <v>3614</v>
      </c>
      <c r="F32" s="3452" t="s">
        <v>3760</v>
      </c>
      <c r="G32" s="3452" t="s">
        <v>3761</v>
      </c>
      <c r="H32" s="3452">
        <v>59603.839999999997</v>
      </c>
      <c r="I32" s="3452">
        <v>131128.44</v>
      </c>
      <c r="J32" s="3452">
        <v>2.2000000000000002</v>
      </c>
      <c r="K32" s="3452" t="s">
        <v>3494</v>
      </c>
      <c r="L32" s="3452" t="s">
        <v>3495</v>
      </c>
      <c r="M32" s="3452" t="s">
        <v>3722</v>
      </c>
      <c r="N32" s="3452" t="s">
        <v>633</v>
      </c>
      <c r="O32" s="3452" t="s">
        <v>633</v>
      </c>
      <c r="P32" s="3452">
        <v>45</v>
      </c>
      <c r="Q32" s="3452" t="s">
        <v>633</v>
      </c>
      <c r="R32" s="3452" t="s">
        <v>633</v>
      </c>
      <c r="S32" s="3452" t="s">
        <v>633</v>
      </c>
      <c r="T32" s="3452" t="s">
        <v>633</v>
      </c>
      <c r="U32" s="3452" t="s">
        <v>3733</v>
      </c>
      <c r="V32" s="3452" t="s">
        <v>3734</v>
      </c>
      <c r="W32" s="3452" t="s">
        <v>633</v>
      </c>
      <c r="X32" s="3452" t="s">
        <v>3498</v>
      </c>
      <c r="Y32" s="3452" t="s">
        <v>3724</v>
      </c>
      <c r="Z32" s="3452" t="s">
        <v>3725</v>
      </c>
      <c r="AA32" s="3452" t="s">
        <v>3726</v>
      </c>
      <c r="AB32" s="3452" t="s">
        <v>3726</v>
      </c>
      <c r="AC32" s="3452" t="s">
        <v>3761</v>
      </c>
      <c r="AD32" s="3452" t="s">
        <v>3502</v>
      </c>
      <c r="AE32" s="3452" t="s">
        <v>3736</v>
      </c>
      <c r="AF32" s="3452" t="s">
        <v>3641</v>
      </c>
      <c r="AG32" s="3452">
        <v>66000</v>
      </c>
      <c r="AH32" s="3452">
        <v>326000</v>
      </c>
      <c r="AI32" s="3452">
        <v>326000</v>
      </c>
      <c r="AJ32" s="3452">
        <v>3646.3</v>
      </c>
      <c r="AK32" s="3452">
        <v>3646.3</v>
      </c>
      <c r="AL32" s="3452">
        <v>24861.119999999999</v>
      </c>
      <c r="AM32" s="3452">
        <v>24861.119999999999</v>
      </c>
      <c r="AN32" s="3452" t="s">
        <v>633</v>
      </c>
      <c r="AO32" s="3452" t="s">
        <v>633</v>
      </c>
      <c r="AP32" s="3452">
        <v>0</v>
      </c>
      <c r="AQ32" s="3452" t="s">
        <v>3595</v>
      </c>
      <c r="AR32" s="3452" t="s">
        <v>633</v>
      </c>
      <c r="AS32" s="3452" t="s">
        <v>633</v>
      </c>
      <c r="AT32" s="3452" t="s">
        <v>633</v>
      </c>
      <c r="AU32" s="3452" t="s">
        <v>3521</v>
      </c>
    </row>
    <row r="33" spans="1:47">
      <c r="A33" s="3452" t="s">
        <v>3762</v>
      </c>
      <c r="B33" s="3452" t="s">
        <v>3487</v>
      </c>
      <c r="C33" s="3452" t="s">
        <v>3488</v>
      </c>
      <c r="D33" s="3452" t="s">
        <v>3489</v>
      </c>
      <c r="E33" s="3452" t="s">
        <v>3620</v>
      </c>
      <c r="F33" s="3452" t="s">
        <v>3763</v>
      </c>
      <c r="G33" s="3452" t="s">
        <v>3764</v>
      </c>
      <c r="H33" s="3452">
        <v>45509.77</v>
      </c>
      <c r="I33" s="3452">
        <v>113774</v>
      </c>
      <c r="J33" s="3452">
        <v>2.5</v>
      </c>
      <c r="K33" s="3452" t="s">
        <v>3494</v>
      </c>
      <c r="L33" s="3452" t="s">
        <v>3495</v>
      </c>
      <c r="M33" s="3452" t="s">
        <v>3662</v>
      </c>
      <c r="N33" s="3452" t="s">
        <v>633</v>
      </c>
      <c r="O33" s="3452" t="s">
        <v>3765</v>
      </c>
      <c r="P33" s="3452">
        <v>45</v>
      </c>
      <c r="Q33" s="3452" t="s">
        <v>3739</v>
      </c>
      <c r="R33" s="3452" t="s">
        <v>633</v>
      </c>
      <c r="S33" s="3452" t="s">
        <v>633</v>
      </c>
      <c r="T33" s="3452" t="s">
        <v>633</v>
      </c>
      <c r="U33" s="3452" t="s">
        <v>3758</v>
      </c>
      <c r="V33" s="3452" t="s">
        <v>3766</v>
      </c>
      <c r="W33" s="3452" t="s">
        <v>633</v>
      </c>
      <c r="X33" s="3452" t="s">
        <v>3767</v>
      </c>
      <c r="Y33" s="3452" t="s">
        <v>3768</v>
      </c>
      <c r="Z33" s="3452" t="s">
        <v>3769</v>
      </c>
      <c r="AA33" s="3452" t="s">
        <v>3770</v>
      </c>
      <c r="AB33" s="3452" t="s">
        <v>3771</v>
      </c>
      <c r="AC33" s="3452" t="s">
        <v>3764</v>
      </c>
      <c r="AD33" s="3452" t="s">
        <v>3502</v>
      </c>
      <c r="AE33" s="3452" t="s">
        <v>3628</v>
      </c>
      <c r="AF33" s="3452" t="s">
        <v>3629</v>
      </c>
      <c r="AG33" s="3452">
        <v>33000</v>
      </c>
      <c r="AH33" s="3452">
        <v>162000</v>
      </c>
      <c r="AI33" s="3452">
        <v>186300</v>
      </c>
      <c r="AJ33" s="3452">
        <v>2373.12</v>
      </c>
      <c r="AK33" s="3452">
        <v>2729.08</v>
      </c>
      <c r="AL33" s="3452">
        <v>14238.75</v>
      </c>
      <c r="AM33" s="3452">
        <v>16374.57</v>
      </c>
      <c r="AN33" s="3452" t="s">
        <v>633</v>
      </c>
      <c r="AO33" s="3452" t="s">
        <v>633</v>
      </c>
      <c r="AP33" s="3452">
        <v>15</v>
      </c>
      <c r="AQ33" s="3452" t="s">
        <v>3772</v>
      </c>
      <c r="AR33" s="3452" t="s">
        <v>633</v>
      </c>
      <c r="AS33" s="3452" t="s">
        <v>633</v>
      </c>
      <c r="AT33" s="3452" t="s">
        <v>633</v>
      </c>
      <c r="AU33" s="3452" t="s">
        <v>3506</v>
      </c>
    </row>
    <row r="34" spans="1:47">
      <c r="A34" s="3452" t="s">
        <v>3773</v>
      </c>
      <c r="B34" s="3452" t="s">
        <v>3487</v>
      </c>
      <c r="C34" s="3452" t="s">
        <v>3488</v>
      </c>
      <c r="D34" s="3452" t="s">
        <v>3679</v>
      </c>
      <c r="E34" s="3452" t="s">
        <v>3688</v>
      </c>
      <c r="F34" s="3452" t="s">
        <v>3689</v>
      </c>
      <c r="G34" s="3452" t="s">
        <v>3774</v>
      </c>
      <c r="H34" s="3452">
        <v>103325.51</v>
      </c>
      <c r="I34" s="3452">
        <v>200222.03</v>
      </c>
      <c r="J34" s="3452">
        <v>2</v>
      </c>
      <c r="K34" s="3452" t="s">
        <v>3494</v>
      </c>
      <c r="L34" s="3452" t="s">
        <v>3495</v>
      </c>
      <c r="M34" s="3452" t="s">
        <v>3662</v>
      </c>
      <c r="N34" s="3452" t="s">
        <v>633</v>
      </c>
      <c r="O34" s="3452" t="s">
        <v>633</v>
      </c>
      <c r="P34" s="3452">
        <v>30</v>
      </c>
      <c r="Q34" s="3452" t="s">
        <v>633</v>
      </c>
      <c r="R34" s="3452" t="s">
        <v>633</v>
      </c>
      <c r="S34" s="3452" t="s">
        <v>633</v>
      </c>
      <c r="T34" s="3452" t="s">
        <v>633</v>
      </c>
      <c r="U34" s="3452" t="s">
        <v>3775</v>
      </c>
      <c r="V34" s="3452" t="s">
        <v>3734</v>
      </c>
      <c r="W34" s="3452" t="s">
        <v>633</v>
      </c>
      <c r="X34" s="3452" t="s">
        <v>3752</v>
      </c>
      <c r="Y34" s="3452" t="s">
        <v>3768</v>
      </c>
      <c r="Z34" s="3452" t="s">
        <v>3769</v>
      </c>
      <c r="AA34" s="3452" t="s">
        <v>3770</v>
      </c>
      <c r="AB34" s="3452" t="s">
        <v>3770</v>
      </c>
      <c r="AC34" s="3452" t="s">
        <v>3774</v>
      </c>
      <c r="AD34" s="3452" t="s">
        <v>3502</v>
      </c>
      <c r="AE34" s="3452" t="s">
        <v>3776</v>
      </c>
      <c r="AF34" s="3452" t="s">
        <v>3777</v>
      </c>
      <c r="AG34" s="3452">
        <v>42000</v>
      </c>
      <c r="AH34" s="3452">
        <v>207000</v>
      </c>
      <c r="AI34" s="3452">
        <v>207000</v>
      </c>
      <c r="AJ34" s="3452">
        <v>1335.58</v>
      </c>
      <c r="AK34" s="3452">
        <v>1335.58</v>
      </c>
      <c r="AL34" s="3452">
        <v>10338.52</v>
      </c>
      <c r="AM34" s="3452">
        <v>10338.52</v>
      </c>
      <c r="AN34" s="3452" t="s">
        <v>633</v>
      </c>
      <c r="AO34" s="3452" t="s">
        <v>633</v>
      </c>
      <c r="AP34" s="3452">
        <v>0</v>
      </c>
      <c r="AQ34" s="3452" t="s">
        <v>3778</v>
      </c>
      <c r="AR34" s="3452" t="s">
        <v>633</v>
      </c>
      <c r="AS34" s="3452" t="s">
        <v>633</v>
      </c>
      <c r="AT34" s="3452" t="s">
        <v>633</v>
      </c>
      <c r="AU34" s="3452" t="s">
        <v>3521</v>
      </c>
    </row>
    <row r="35" spans="1:47">
      <c r="A35" s="3452" t="s">
        <v>3779</v>
      </c>
      <c r="B35" s="3452" t="s">
        <v>3487</v>
      </c>
      <c r="C35" s="3452" t="s">
        <v>3488</v>
      </c>
      <c r="D35" s="3452" t="s">
        <v>3644</v>
      </c>
      <c r="E35" s="3452" t="s">
        <v>3645</v>
      </c>
      <c r="F35" s="3452" t="s">
        <v>3646</v>
      </c>
      <c r="G35" s="3452" t="s">
        <v>3780</v>
      </c>
      <c r="H35" s="3452">
        <v>25036.44</v>
      </c>
      <c r="I35" s="3452">
        <v>67598.39</v>
      </c>
      <c r="J35" s="3452">
        <v>2.7</v>
      </c>
      <c r="K35" s="3452" t="s">
        <v>3494</v>
      </c>
      <c r="L35" s="3452" t="s">
        <v>3495</v>
      </c>
      <c r="M35" s="3452" t="s">
        <v>3662</v>
      </c>
      <c r="N35" s="3452" t="s">
        <v>633</v>
      </c>
      <c r="O35" s="3452" t="s">
        <v>633</v>
      </c>
      <c r="P35" s="3452">
        <v>60</v>
      </c>
      <c r="Q35" s="3452" t="s">
        <v>3739</v>
      </c>
      <c r="R35" s="3452" t="s">
        <v>633</v>
      </c>
      <c r="S35" s="3452" t="s">
        <v>633</v>
      </c>
      <c r="T35" s="3452" t="s">
        <v>633</v>
      </c>
      <c r="U35" s="3452" t="s">
        <v>3758</v>
      </c>
      <c r="V35" s="3452" t="s">
        <v>3734</v>
      </c>
      <c r="W35" s="3452" t="s">
        <v>633</v>
      </c>
      <c r="X35" s="3452" t="s">
        <v>3767</v>
      </c>
      <c r="Y35" s="3452" t="s">
        <v>3768</v>
      </c>
      <c r="Z35" s="3452" t="s">
        <v>3769</v>
      </c>
      <c r="AA35" s="3452" t="s">
        <v>3770</v>
      </c>
      <c r="AB35" s="3452" t="s">
        <v>3770</v>
      </c>
      <c r="AC35" s="3452" t="s">
        <v>3780</v>
      </c>
      <c r="AD35" s="3452" t="s">
        <v>3502</v>
      </c>
      <c r="AE35" s="3452" t="s">
        <v>3781</v>
      </c>
      <c r="AF35" s="3452" t="s">
        <v>3782</v>
      </c>
      <c r="AG35" s="3452">
        <v>30000</v>
      </c>
      <c r="AH35" s="3452">
        <v>146000</v>
      </c>
      <c r="AI35" s="3452">
        <v>148400</v>
      </c>
      <c r="AJ35" s="3452">
        <v>3887.67</v>
      </c>
      <c r="AK35" s="3452">
        <v>3951.57</v>
      </c>
      <c r="AL35" s="3452">
        <v>21598.14</v>
      </c>
      <c r="AM35" s="3452">
        <v>21953.19</v>
      </c>
      <c r="AN35" s="3452" t="s">
        <v>633</v>
      </c>
      <c r="AO35" s="3452" t="s">
        <v>633</v>
      </c>
      <c r="AP35" s="3452">
        <v>1.64</v>
      </c>
      <c r="AQ35" s="3452" t="s">
        <v>3783</v>
      </c>
      <c r="AR35" s="3452" t="s">
        <v>633</v>
      </c>
      <c r="AS35" s="3452" t="s">
        <v>633</v>
      </c>
      <c r="AT35" s="3452" t="s">
        <v>633</v>
      </c>
      <c r="AU35" s="3452" t="s">
        <v>3506</v>
      </c>
    </row>
    <row r="36" spans="1:47">
      <c r="A36" s="3452" t="s">
        <v>3784</v>
      </c>
      <c r="B36" s="3452" t="s">
        <v>3487</v>
      </c>
      <c r="C36" s="3452" t="s">
        <v>3488</v>
      </c>
      <c r="D36" s="3452" t="s">
        <v>3644</v>
      </c>
      <c r="E36" s="3452" t="s">
        <v>3645</v>
      </c>
      <c r="F36" s="3452" t="s">
        <v>3646</v>
      </c>
      <c r="G36" s="3452" t="s">
        <v>3785</v>
      </c>
      <c r="H36" s="3452">
        <v>26791.21</v>
      </c>
      <c r="I36" s="3452">
        <v>53582.42</v>
      </c>
      <c r="J36" s="3452">
        <v>2</v>
      </c>
      <c r="K36" s="3452" t="s">
        <v>3494</v>
      </c>
      <c r="L36" s="3452" t="s">
        <v>3495</v>
      </c>
      <c r="M36" s="3452" t="s">
        <v>3662</v>
      </c>
      <c r="N36" s="3452" t="s">
        <v>633</v>
      </c>
      <c r="O36" s="3452" t="s">
        <v>633</v>
      </c>
      <c r="P36" s="3452">
        <v>45</v>
      </c>
      <c r="Q36" s="3452" t="s">
        <v>3739</v>
      </c>
      <c r="R36" s="3452" t="s">
        <v>633</v>
      </c>
      <c r="S36" s="3452" t="s">
        <v>633</v>
      </c>
      <c r="T36" s="3452" t="s">
        <v>633</v>
      </c>
      <c r="U36" s="3452" t="s">
        <v>3758</v>
      </c>
      <c r="V36" s="3452" t="s">
        <v>3734</v>
      </c>
      <c r="W36" s="3452" t="s">
        <v>633</v>
      </c>
      <c r="X36" s="3452" t="s">
        <v>3767</v>
      </c>
      <c r="Y36" s="3452" t="s">
        <v>3768</v>
      </c>
      <c r="Z36" s="3452" t="s">
        <v>3769</v>
      </c>
      <c r="AA36" s="3452" t="s">
        <v>3770</v>
      </c>
      <c r="AB36" s="3452" t="s">
        <v>3770</v>
      </c>
      <c r="AC36" s="3452" t="s">
        <v>3785</v>
      </c>
      <c r="AD36" s="3452" t="s">
        <v>3502</v>
      </c>
      <c r="AE36" s="3452" t="s">
        <v>3786</v>
      </c>
      <c r="AF36" s="3452" t="s">
        <v>3787</v>
      </c>
      <c r="AG36" s="3452">
        <v>23000</v>
      </c>
      <c r="AH36" s="3452">
        <v>115000</v>
      </c>
      <c r="AI36" s="3452">
        <v>116800</v>
      </c>
      <c r="AJ36" s="3452">
        <v>2861.64</v>
      </c>
      <c r="AK36" s="3452">
        <v>2906.43</v>
      </c>
      <c r="AL36" s="3452">
        <v>21462.26</v>
      </c>
      <c r="AM36" s="3452">
        <v>21798.19</v>
      </c>
      <c r="AN36" s="3452" t="s">
        <v>633</v>
      </c>
      <c r="AO36" s="3452" t="s">
        <v>633</v>
      </c>
      <c r="AP36" s="3452">
        <v>1.57</v>
      </c>
      <c r="AQ36" s="3452" t="s">
        <v>3788</v>
      </c>
      <c r="AR36" s="3452" t="s">
        <v>633</v>
      </c>
      <c r="AS36" s="3452" t="s">
        <v>633</v>
      </c>
      <c r="AT36" s="3452" t="s">
        <v>633</v>
      </c>
      <c r="AU36" s="3452" t="s">
        <v>3506</v>
      </c>
    </row>
    <row r="37" spans="1:47">
      <c r="A37" s="3452" t="s">
        <v>3789</v>
      </c>
      <c r="B37" s="3452" t="s">
        <v>3487</v>
      </c>
      <c r="C37" s="3452" t="s">
        <v>3488</v>
      </c>
      <c r="D37" s="3452" t="s">
        <v>3508</v>
      </c>
      <c r="E37" s="3452" t="s">
        <v>3532</v>
      </c>
      <c r="F37" s="3452" t="s">
        <v>3790</v>
      </c>
      <c r="G37" s="3452" t="s">
        <v>3791</v>
      </c>
      <c r="H37" s="3452">
        <v>40082.199999999997</v>
      </c>
      <c r="I37" s="3452">
        <v>60123.3</v>
      </c>
      <c r="J37" s="3452">
        <v>1.5</v>
      </c>
      <c r="K37" s="3452" t="s">
        <v>3494</v>
      </c>
      <c r="L37" s="3452" t="s">
        <v>3792</v>
      </c>
      <c r="M37" s="3452">
        <v>0</v>
      </c>
      <c r="N37" s="3452" t="s">
        <v>633</v>
      </c>
      <c r="O37" s="3452">
        <v>30</v>
      </c>
      <c r="P37" s="3452" t="s">
        <v>633</v>
      </c>
      <c r="Q37" s="3452" t="s">
        <v>633</v>
      </c>
      <c r="R37" s="3452" t="s">
        <v>633</v>
      </c>
      <c r="S37" s="3452" t="s">
        <v>633</v>
      </c>
      <c r="T37" s="3452" t="s">
        <v>633</v>
      </c>
      <c r="U37" s="3452" t="s">
        <v>633</v>
      </c>
      <c r="V37" s="3452" t="s">
        <v>633</v>
      </c>
      <c r="W37" s="3452" t="s">
        <v>633</v>
      </c>
      <c r="X37" s="3452" t="s">
        <v>3767</v>
      </c>
      <c r="Y37" s="3452" t="s">
        <v>3793</v>
      </c>
      <c r="Z37" s="3452" t="s">
        <v>3794</v>
      </c>
      <c r="AA37" s="3452" t="s">
        <v>3795</v>
      </c>
      <c r="AB37" s="3452" t="s">
        <v>3795</v>
      </c>
      <c r="AC37" s="3452" t="s">
        <v>3796</v>
      </c>
      <c r="AD37" s="3452" t="s">
        <v>3502</v>
      </c>
      <c r="AE37" s="3452" t="s">
        <v>3797</v>
      </c>
      <c r="AF37" s="3452" t="s">
        <v>3798</v>
      </c>
      <c r="AG37" s="3452">
        <v>16400</v>
      </c>
      <c r="AH37" s="3452">
        <v>81924.009999999995</v>
      </c>
      <c r="AI37" s="3452">
        <v>81924.009999999995</v>
      </c>
      <c r="AJ37" s="3452">
        <v>1362.6</v>
      </c>
      <c r="AK37" s="3452">
        <v>1362.6</v>
      </c>
      <c r="AL37" s="3452">
        <v>13626</v>
      </c>
      <c r="AM37" s="3452">
        <v>13626</v>
      </c>
      <c r="AN37" s="3452" t="s">
        <v>633</v>
      </c>
      <c r="AO37" s="3452" t="s">
        <v>633</v>
      </c>
      <c r="AP37" s="3452">
        <v>0</v>
      </c>
      <c r="AQ37" s="3452">
        <v>50</v>
      </c>
      <c r="AR37" s="3452" t="s">
        <v>633</v>
      </c>
      <c r="AS37" s="3452" t="s">
        <v>633</v>
      </c>
      <c r="AT37" s="3452" t="s">
        <v>633</v>
      </c>
      <c r="AU37" s="3452" t="s">
        <v>3521</v>
      </c>
    </row>
    <row r="38" spans="1:47">
      <c r="A38" s="3452" t="s">
        <v>3799</v>
      </c>
      <c r="B38" s="3452" t="s">
        <v>3487</v>
      </c>
      <c r="C38" s="3452" t="s">
        <v>3488</v>
      </c>
      <c r="D38" s="3452" t="s">
        <v>3604</v>
      </c>
      <c r="E38" s="3452" t="s">
        <v>3800</v>
      </c>
      <c r="F38" s="3452" t="s">
        <v>3801</v>
      </c>
      <c r="G38" s="3452" t="s">
        <v>3802</v>
      </c>
      <c r="H38" s="3452">
        <v>27077.63</v>
      </c>
      <c r="I38" s="3452">
        <v>56500</v>
      </c>
      <c r="J38" s="3452">
        <v>2.1</v>
      </c>
      <c r="K38" s="3452" t="s">
        <v>3494</v>
      </c>
      <c r="L38" s="3452" t="s">
        <v>3495</v>
      </c>
      <c r="M38" s="3452" t="s">
        <v>3702</v>
      </c>
      <c r="N38" s="3452" t="s">
        <v>633</v>
      </c>
      <c r="O38" s="3452" t="s">
        <v>633</v>
      </c>
      <c r="P38" s="3452" t="s">
        <v>3803</v>
      </c>
      <c r="Q38" s="3452" t="s">
        <v>633</v>
      </c>
      <c r="R38" s="3452" t="s">
        <v>633</v>
      </c>
      <c r="S38" s="3452" t="s">
        <v>633</v>
      </c>
      <c r="T38" s="3452" t="s">
        <v>633</v>
      </c>
      <c r="U38" s="3452" t="s">
        <v>3804</v>
      </c>
      <c r="V38" s="3452" t="s">
        <v>3804</v>
      </c>
      <c r="W38" s="3452" t="s">
        <v>633</v>
      </c>
      <c r="X38" s="3452" t="s">
        <v>3752</v>
      </c>
      <c r="Y38" s="3452" t="s">
        <v>3805</v>
      </c>
      <c r="Z38" s="3452" t="s">
        <v>3806</v>
      </c>
      <c r="AA38" s="3452" t="s">
        <v>3807</v>
      </c>
      <c r="AB38" s="3452" t="s">
        <v>3807</v>
      </c>
      <c r="AC38" s="3452" t="s">
        <v>3802</v>
      </c>
      <c r="AD38" s="3452" t="s">
        <v>3502</v>
      </c>
      <c r="AE38" s="3452" t="s">
        <v>3808</v>
      </c>
      <c r="AF38" s="3452" t="s">
        <v>3809</v>
      </c>
      <c r="AG38" s="3452">
        <v>16500</v>
      </c>
      <c r="AH38" s="3452">
        <v>82500</v>
      </c>
      <c r="AI38" s="3452">
        <v>94875</v>
      </c>
      <c r="AJ38" s="3452">
        <v>2031.2</v>
      </c>
      <c r="AK38" s="3452">
        <v>2335.88</v>
      </c>
      <c r="AL38" s="3452">
        <v>14601.77</v>
      </c>
      <c r="AM38" s="3452">
        <v>16792.04</v>
      </c>
      <c r="AN38" s="3452" t="s">
        <v>633</v>
      </c>
      <c r="AO38" s="3452" t="s">
        <v>633</v>
      </c>
      <c r="AP38" s="3452">
        <v>15</v>
      </c>
      <c r="AQ38" s="3452" t="s">
        <v>3595</v>
      </c>
      <c r="AR38" s="3452" t="s">
        <v>633</v>
      </c>
      <c r="AS38" s="3452" t="s">
        <v>633</v>
      </c>
      <c r="AT38" s="3452" t="s">
        <v>633</v>
      </c>
      <c r="AU38" s="3452" t="s">
        <v>3506</v>
      </c>
    </row>
    <row r="39" spans="1:47">
      <c r="A39" s="3452" t="s">
        <v>3810</v>
      </c>
      <c r="B39" s="3452" t="s">
        <v>3487</v>
      </c>
      <c r="C39" s="3452" t="s">
        <v>3488</v>
      </c>
      <c r="D39" s="3452" t="s">
        <v>3631</v>
      </c>
      <c r="E39" s="3452" t="s">
        <v>3632</v>
      </c>
      <c r="F39" s="3452" t="s">
        <v>3743</v>
      </c>
      <c r="G39" s="3452" t="s">
        <v>3811</v>
      </c>
      <c r="H39" s="3452">
        <v>11822.2</v>
      </c>
      <c r="I39" s="3452">
        <v>35466</v>
      </c>
      <c r="J39" s="3452">
        <v>3</v>
      </c>
      <c r="K39" s="3452" t="s">
        <v>3494</v>
      </c>
      <c r="L39" s="3452" t="s">
        <v>3812</v>
      </c>
      <c r="M39" s="3452" t="s">
        <v>3702</v>
      </c>
      <c r="N39" s="3452">
        <v>30</v>
      </c>
      <c r="O39" s="3452" t="s">
        <v>633</v>
      </c>
      <c r="P39" s="3452">
        <v>60</v>
      </c>
      <c r="Q39" s="3452" t="s">
        <v>3739</v>
      </c>
      <c r="R39" s="3452" t="s">
        <v>633</v>
      </c>
      <c r="S39" s="3452" t="s">
        <v>633</v>
      </c>
      <c r="T39" s="3452" t="s">
        <v>633</v>
      </c>
      <c r="U39" s="3452" t="s">
        <v>3717</v>
      </c>
      <c r="V39" s="3452" t="s">
        <v>3718</v>
      </c>
      <c r="W39" s="3452" t="s">
        <v>633</v>
      </c>
      <c r="X39" s="3452" t="s">
        <v>3752</v>
      </c>
      <c r="Y39" s="3452" t="s">
        <v>3805</v>
      </c>
      <c r="Z39" s="3452" t="s">
        <v>3806</v>
      </c>
      <c r="AA39" s="3452" t="s">
        <v>3813</v>
      </c>
      <c r="AB39" s="3452" t="s">
        <v>3813</v>
      </c>
      <c r="AC39" s="3452" t="s">
        <v>3811</v>
      </c>
      <c r="AD39" s="3452" t="s">
        <v>3502</v>
      </c>
      <c r="AE39" s="3452" t="s">
        <v>3736</v>
      </c>
      <c r="AF39" s="3452" t="s">
        <v>3641</v>
      </c>
      <c r="AG39" s="3452">
        <v>23500</v>
      </c>
      <c r="AH39" s="3452">
        <v>116000</v>
      </c>
      <c r="AI39" s="3452">
        <v>116000</v>
      </c>
      <c r="AJ39" s="3452">
        <v>6541.37</v>
      </c>
      <c r="AK39" s="3452">
        <v>6541.37</v>
      </c>
      <c r="AL39" s="3452">
        <v>32707.38</v>
      </c>
      <c r="AM39" s="3452">
        <v>32707.38</v>
      </c>
      <c r="AN39" s="3452" t="s">
        <v>633</v>
      </c>
      <c r="AO39" s="3452" t="s">
        <v>633</v>
      </c>
      <c r="AP39" s="3452">
        <v>0</v>
      </c>
      <c r="AQ39" s="3452" t="s">
        <v>3712</v>
      </c>
      <c r="AR39" s="3452" t="s">
        <v>633</v>
      </c>
      <c r="AS39" s="3452" t="s">
        <v>633</v>
      </c>
      <c r="AT39" s="3452" t="s">
        <v>633</v>
      </c>
      <c r="AU39" s="3452" t="s">
        <v>3506</v>
      </c>
    </row>
    <row r="40" spans="1:47">
      <c r="A40" s="3452" t="s">
        <v>3814</v>
      </c>
      <c r="B40" s="3452" t="s">
        <v>3487</v>
      </c>
      <c r="C40" s="3452" t="s">
        <v>3488</v>
      </c>
      <c r="D40" s="3452" t="s">
        <v>3508</v>
      </c>
      <c r="E40" s="3452" t="s">
        <v>3815</v>
      </c>
      <c r="F40" s="3452" t="s">
        <v>3816</v>
      </c>
      <c r="G40" s="3452" t="s">
        <v>3817</v>
      </c>
      <c r="H40" s="3452">
        <v>71316.899999999994</v>
      </c>
      <c r="I40" s="3452">
        <v>178292.25</v>
      </c>
      <c r="J40" s="3452" t="s">
        <v>3818</v>
      </c>
      <c r="K40" s="3452" t="s">
        <v>3494</v>
      </c>
      <c r="L40" s="3452" t="s">
        <v>3495</v>
      </c>
      <c r="M40" s="3452" t="s">
        <v>3702</v>
      </c>
      <c r="N40" s="3452" t="s">
        <v>633</v>
      </c>
      <c r="O40" s="3452" t="s">
        <v>3623</v>
      </c>
      <c r="P40" s="3452" t="s">
        <v>3623</v>
      </c>
      <c r="Q40" s="3452" t="s">
        <v>3739</v>
      </c>
      <c r="R40" s="3452" t="s">
        <v>633</v>
      </c>
      <c r="S40" s="3452" t="s">
        <v>633</v>
      </c>
      <c r="T40" s="3452" t="s">
        <v>633</v>
      </c>
      <c r="U40" s="3452" t="s">
        <v>3766</v>
      </c>
      <c r="V40" s="3452" t="s">
        <v>3734</v>
      </c>
      <c r="W40" s="3452" t="s">
        <v>633</v>
      </c>
      <c r="X40" s="3452" t="s">
        <v>3752</v>
      </c>
      <c r="Y40" s="3452" t="s">
        <v>3805</v>
      </c>
      <c r="Z40" s="3452" t="s">
        <v>3806</v>
      </c>
      <c r="AA40" s="3452" t="s">
        <v>3813</v>
      </c>
      <c r="AB40" s="3452" t="s">
        <v>3813</v>
      </c>
      <c r="AC40" s="3452" t="s">
        <v>3817</v>
      </c>
      <c r="AD40" s="3452" t="s">
        <v>3502</v>
      </c>
      <c r="AE40" s="3452" t="s">
        <v>3819</v>
      </c>
      <c r="AF40" s="3452" t="s">
        <v>3820</v>
      </c>
      <c r="AG40" s="3452">
        <v>137000</v>
      </c>
      <c r="AH40" s="3452">
        <v>685000</v>
      </c>
      <c r="AI40" s="3452">
        <v>685000</v>
      </c>
      <c r="AJ40" s="3452">
        <v>6403.34</v>
      </c>
      <c r="AK40" s="3452">
        <v>6403.34</v>
      </c>
      <c r="AL40" s="3452">
        <v>38420.06</v>
      </c>
      <c r="AM40" s="3452">
        <v>38420.07</v>
      </c>
      <c r="AN40" s="3452" t="s">
        <v>633</v>
      </c>
      <c r="AO40" s="3452" t="s">
        <v>633</v>
      </c>
      <c r="AP40" s="3452">
        <v>0</v>
      </c>
      <c r="AQ40" s="3452" t="s">
        <v>3712</v>
      </c>
      <c r="AR40" s="3452" t="s">
        <v>633</v>
      </c>
      <c r="AS40" s="3452" t="s">
        <v>633</v>
      </c>
      <c r="AT40" s="3452" t="s">
        <v>633</v>
      </c>
      <c r="AU40" s="3452" t="s">
        <v>3506</v>
      </c>
    </row>
    <row r="41" spans="1:47">
      <c r="A41" s="3452" t="s">
        <v>3821</v>
      </c>
      <c r="B41" s="3452" t="s">
        <v>3487</v>
      </c>
      <c r="C41" s="3452" t="s">
        <v>3488</v>
      </c>
      <c r="D41" s="3452" t="s">
        <v>3489</v>
      </c>
      <c r="E41" s="3452" t="s">
        <v>3822</v>
      </c>
      <c r="F41" s="3452" t="s">
        <v>3823</v>
      </c>
      <c r="G41" s="3452" t="s">
        <v>3824</v>
      </c>
      <c r="H41" s="3452">
        <v>72250</v>
      </c>
      <c r="I41" s="3452">
        <v>79475</v>
      </c>
      <c r="J41" s="3452">
        <v>1.1000000000000001</v>
      </c>
      <c r="K41" s="3452" t="s">
        <v>3494</v>
      </c>
      <c r="L41" s="3452" t="s">
        <v>3495</v>
      </c>
      <c r="M41" s="3452" t="s">
        <v>3702</v>
      </c>
      <c r="N41" s="3452" t="s">
        <v>633</v>
      </c>
      <c r="O41" s="3452" t="s">
        <v>633</v>
      </c>
      <c r="P41" s="3452" t="s">
        <v>633</v>
      </c>
      <c r="Q41" s="3452" t="s">
        <v>633</v>
      </c>
      <c r="R41" s="3452" t="s">
        <v>633</v>
      </c>
      <c r="S41" s="3452" t="s">
        <v>633</v>
      </c>
      <c r="T41" s="3452" t="s">
        <v>633</v>
      </c>
      <c r="U41" s="3452" t="s">
        <v>3766</v>
      </c>
      <c r="V41" s="3452" t="s">
        <v>3734</v>
      </c>
      <c r="W41" s="3452" t="s">
        <v>633</v>
      </c>
      <c r="X41" s="3452" t="s">
        <v>3498</v>
      </c>
      <c r="Y41" s="3452" t="s">
        <v>3805</v>
      </c>
      <c r="Z41" s="3452" t="s">
        <v>3806</v>
      </c>
      <c r="AA41" s="3452" t="s">
        <v>3813</v>
      </c>
      <c r="AB41" s="3452" t="s">
        <v>3813</v>
      </c>
      <c r="AC41" s="3452" t="s">
        <v>3824</v>
      </c>
      <c r="AD41" s="3452" t="s">
        <v>3502</v>
      </c>
      <c r="AE41" s="3452" t="s">
        <v>3825</v>
      </c>
      <c r="AF41" s="3452" t="s">
        <v>3656</v>
      </c>
      <c r="AG41" s="3452">
        <v>20000</v>
      </c>
      <c r="AH41" s="3452">
        <v>98300</v>
      </c>
      <c r="AI41" s="3452">
        <v>98300</v>
      </c>
      <c r="AJ41" s="3452">
        <v>907.04</v>
      </c>
      <c r="AK41" s="3452">
        <v>907.04</v>
      </c>
      <c r="AL41" s="3452">
        <v>12368.66</v>
      </c>
      <c r="AM41" s="3452">
        <v>12368.67</v>
      </c>
      <c r="AN41" s="3452" t="s">
        <v>633</v>
      </c>
      <c r="AO41" s="3452" t="s">
        <v>633</v>
      </c>
      <c r="AP41" s="3452">
        <v>0</v>
      </c>
      <c r="AQ41" s="3452" t="s">
        <v>3595</v>
      </c>
      <c r="AR41" s="3452" t="s">
        <v>633</v>
      </c>
      <c r="AS41" s="3452" t="s">
        <v>633</v>
      </c>
      <c r="AT41" s="3452" t="s">
        <v>633</v>
      </c>
      <c r="AU41" s="3452" t="s">
        <v>3530</v>
      </c>
    </row>
    <row r="42" spans="1:47">
      <c r="A42" s="3452" t="s">
        <v>3826</v>
      </c>
      <c r="B42" s="3452" t="s">
        <v>3487</v>
      </c>
      <c r="C42" s="3452" t="s">
        <v>3488</v>
      </c>
      <c r="D42" s="3452" t="s">
        <v>3679</v>
      </c>
      <c r="E42" s="3452" t="s">
        <v>3827</v>
      </c>
      <c r="F42" s="3452" t="s">
        <v>3828</v>
      </c>
      <c r="G42" s="3452" t="s">
        <v>3829</v>
      </c>
      <c r="H42" s="3452">
        <v>58351.58</v>
      </c>
      <c r="I42" s="3452">
        <v>116703</v>
      </c>
      <c r="J42" s="3452" t="s">
        <v>3673</v>
      </c>
      <c r="K42" s="3452" t="s">
        <v>3494</v>
      </c>
      <c r="L42" s="3452" t="s">
        <v>3495</v>
      </c>
      <c r="M42" s="3452" t="s">
        <v>3722</v>
      </c>
      <c r="N42" s="3452" t="s">
        <v>633</v>
      </c>
      <c r="O42" s="3452" t="s">
        <v>3512</v>
      </c>
      <c r="P42" s="3452" t="s">
        <v>3830</v>
      </c>
      <c r="Q42" s="3452" t="s">
        <v>633</v>
      </c>
      <c r="R42" s="3452" t="s">
        <v>633</v>
      </c>
      <c r="S42" s="3452" t="s">
        <v>633</v>
      </c>
      <c r="T42" s="3452" t="s">
        <v>633</v>
      </c>
      <c r="U42" s="3452" t="s">
        <v>3831</v>
      </c>
      <c r="V42" s="3452" t="s">
        <v>3831</v>
      </c>
      <c r="W42" s="3452" t="s">
        <v>633</v>
      </c>
      <c r="X42" s="3452" t="s">
        <v>3752</v>
      </c>
      <c r="Y42" s="3452" t="s">
        <v>3832</v>
      </c>
      <c r="Z42" s="3452" t="s">
        <v>3833</v>
      </c>
      <c r="AA42" s="3452" t="s">
        <v>3834</v>
      </c>
      <c r="AB42" s="3452" t="s">
        <v>3835</v>
      </c>
      <c r="AC42" s="3452" t="s">
        <v>3829</v>
      </c>
      <c r="AD42" s="3452" t="s">
        <v>3502</v>
      </c>
      <c r="AE42" s="3452" t="s">
        <v>3836</v>
      </c>
      <c r="AF42" s="3452" t="s">
        <v>3837</v>
      </c>
      <c r="AG42" s="3452">
        <v>31000</v>
      </c>
      <c r="AH42" s="3452">
        <v>151200</v>
      </c>
      <c r="AI42" s="3452">
        <v>173800</v>
      </c>
      <c r="AJ42" s="3452">
        <v>1727.46</v>
      </c>
      <c r="AK42" s="3452">
        <v>1985.66</v>
      </c>
      <c r="AL42" s="3452">
        <v>12955.96</v>
      </c>
      <c r="AM42" s="3452">
        <v>14892.5</v>
      </c>
      <c r="AN42" s="3452" t="s">
        <v>633</v>
      </c>
      <c r="AO42" s="3452" t="s">
        <v>633</v>
      </c>
      <c r="AP42" s="3452">
        <v>14.95</v>
      </c>
      <c r="AQ42" s="3452" t="s">
        <v>3543</v>
      </c>
      <c r="AR42" s="3452" t="s">
        <v>633</v>
      </c>
      <c r="AS42" s="3452" t="s">
        <v>633</v>
      </c>
      <c r="AT42" s="3452" t="s">
        <v>633</v>
      </c>
      <c r="AU42" s="3452" t="s">
        <v>3521</v>
      </c>
    </row>
    <row r="43" spans="1:47">
      <c r="A43" s="3452" t="s">
        <v>3838</v>
      </c>
      <c r="B43" s="3452" t="s">
        <v>3487</v>
      </c>
      <c r="C43" s="3452" t="s">
        <v>3488</v>
      </c>
      <c r="D43" s="3452" t="s">
        <v>3604</v>
      </c>
      <c r="E43" s="3452" t="s">
        <v>3698</v>
      </c>
      <c r="F43" s="3452" t="s">
        <v>3839</v>
      </c>
      <c r="G43" s="3452" t="s">
        <v>3840</v>
      </c>
      <c r="H43" s="3452">
        <v>31537.81</v>
      </c>
      <c r="I43" s="3452">
        <v>88306</v>
      </c>
      <c r="J43" s="3452" t="s">
        <v>3493</v>
      </c>
      <c r="K43" s="3452" t="s">
        <v>3494</v>
      </c>
      <c r="L43" s="3452" t="s">
        <v>3495</v>
      </c>
      <c r="M43" s="3452" t="s">
        <v>3722</v>
      </c>
      <c r="N43" s="3452" t="s">
        <v>633</v>
      </c>
      <c r="O43" s="3452" t="s">
        <v>3512</v>
      </c>
      <c r="P43" s="3452" t="s">
        <v>3841</v>
      </c>
      <c r="Q43" s="3452" t="s">
        <v>3842</v>
      </c>
      <c r="R43" s="3452" t="s">
        <v>633</v>
      </c>
      <c r="S43" s="3452" t="s">
        <v>633</v>
      </c>
      <c r="T43" s="3452" t="s">
        <v>633</v>
      </c>
      <c r="U43" s="3452" t="s">
        <v>3843</v>
      </c>
      <c r="V43" s="3452" t="s">
        <v>3843</v>
      </c>
      <c r="W43" s="3452" t="s">
        <v>633</v>
      </c>
      <c r="X43" s="3452" t="s">
        <v>3767</v>
      </c>
      <c r="Y43" s="3452" t="s">
        <v>3832</v>
      </c>
      <c r="Z43" s="3452" t="s">
        <v>3833</v>
      </c>
      <c r="AA43" s="3452" t="s">
        <v>3834</v>
      </c>
      <c r="AB43" s="3452" t="s">
        <v>3844</v>
      </c>
      <c r="AC43" s="3452" t="s">
        <v>3840</v>
      </c>
      <c r="AD43" s="3452" t="s">
        <v>3502</v>
      </c>
      <c r="AE43" s="3452" t="s">
        <v>3845</v>
      </c>
      <c r="AF43" s="3452" t="s">
        <v>3846</v>
      </c>
      <c r="AG43" s="3452">
        <v>69000</v>
      </c>
      <c r="AH43" s="3452">
        <v>343000</v>
      </c>
      <c r="AI43" s="3452">
        <v>361000</v>
      </c>
      <c r="AJ43" s="3452">
        <v>7250.56</v>
      </c>
      <c r="AK43" s="3452">
        <v>7631.05</v>
      </c>
      <c r="AL43" s="3452">
        <v>38842.199999999997</v>
      </c>
      <c r="AM43" s="3452">
        <v>40880.57</v>
      </c>
      <c r="AN43" s="3452" t="s">
        <v>633</v>
      </c>
      <c r="AO43" s="3452" t="s">
        <v>633</v>
      </c>
      <c r="AP43" s="3452">
        <v>5.25</v>
      </c>
      <c r="AQ43" s="3452" t="s">
        <v>3543</v>
      </c>
      <c r="AR43" s="3452" t="s">
        <v>633</v>
      </c>
      <c r="AS43" s="3452" t="s">
        <v>633</v>
      </c>
      <c r="AT43" s="3452" t="s">
        <v>633</v>
      </c>
      <c r="AU43" s="3452" t="s">
        <v>3642</v>
      </c>
    </row>
    <row r="44" spans="1:47">
      <c r="A44" s="3452" t="s">
        <v>3847</v>
      </c>
      <c r="B44" s="3452" t="s">
        <v>3487</v>
      </c>
      <c r="C44" s="3452" t="s">
        <v>3488</v>
      </c>
      <c r="D44" s="3452" t="s">
        <v>3604</v>
      </c>
      <c r="E44" s="3452" t="s">
        <v>3848</v>
      </c>
      <c r="F44" s="3452" t="s">
        <v>3699</v>
      </c>
      <c r="G44" s="3452" t="s">
        <v>3849</v>
      </c>
      <c r="H44" s="3452">
        <v>16028.4</v>
      </c>
      <c r="I44" s="3452">
        <v>25645.439999999999</v>
      </c>
      <c r="J44" s="3452" t="s">
        <v>3850</v>
      </c>
      <c r="K44" s="3452" t="s">
        <v>3494</v>
      </c>
      <c r="L44" s="3452" t="s">
        <v>3495</v>
      </c>
      <c r="M44" s="3452" t="s">
        <v>3722</v>
      </c>
      <c r="N44" s="3452" t="s">
        <v>633</v>
      </c>
      <c r="O44" s="3452" t="s">
        <v>633</v>
      </c>
      <c r="P44" s="3452" t="s">
        <v>3851</v>
      </c>
      <c r="Q44" s="3452" t="s">
        <v>3842</v>
      </c>
      <c r="R44" s="3452" t="s">
        <v>633</v>
      </c>
      <c r="S44" s="3452" t="s">
        <v>633</v>
      </c>
      <c r="T44" s="3452" t="s">
        <v>633</v>
      </c>
      <c r="U44" s="3452" t="s">
        <v>3852</v>
      </c>
      <c r="V44" s="3452" t="s">
        <v>3853</v>
      </c>
      <c r="W44" s="3452" t="s">
        <v>633</v>
      </c>
      <c r="X44" s="3452" t="s">
        <v>3767</v>
      </c>
      <c r="Y44" s="3452" t="s">
        <v>3832</v>
      </c>
      <c r="Z44" s="3452" t="s">
        <v>3833</v>
      </c>
      <c r="AA44" s="3452" t="s">
        <v>3834</v>
      </c>
      <c r="AB44" s="3452" t="s">
        <v>3844</v>
      </c>
      <c r="AC44" s="3452" t="s">
        <v>3849</v>
      </c>
      <c r="AD44" s="3452" t="s">
        <v>3502</v>
      </c>
      <c r="AE44" s="3452" t="s">
        <v>3854</v>
      </c>
      <c r="AF44" s="3452" t="s">
        <v>3854</v>
      </c>
      <c r="AG44" s="3452">
        <v>12000</v>
      </c>
      <c r="AH44" s="3452">
        <v>55500</v>
      </c>
      <c r="AI44" s="3452">
        <v>66600</v>
      </c>
      <c r="AJ44" s="3452">
        <v>2308.4</v>
      </c>
      <c r="AK44" s="3452">
        <v>2770.08</v>
      </c>
      <c r="AL44" s="3452">
        <v>21641.27</v>
      </c>
      <c r="AM44" s="3452">
        <v>25969.53</v>
      </c>
      <c r="AN44" s="3452" t="s">
        <v>633</v>
      </c>
      <c r="AO44" s="3452" t="s">
        <v>633</v>
      </c>
      <c r="AP44" s="3452">
        <v>20</v>
      </c>
      <c r="AQ44" s="3452" t="s">
        <v>3543</v>
      </c>
      <c r="AR44" s="3452" t="s">
        <v>633</v>
      </c>
      <c r="AS44" s="3452" t="s">
        <v>633</v>
      </c>
      <c r="AT44" s="3452" t="s">
        <v>633</v>
      </c>
      <c r="AU44" s="3452" t="s">
        <v>3521</v>
      </c>
    </row>
    <row r="45" spans="1:47">
      <c r="A45" s="3452" t="s">
        <v>3855</v>
      </c>
      <c r="B45" s="3452" t="s">
        <v>3487</v>
      </c>
      <c r="C45" s="3452" t="s">
        <v>3488</v>
      </c>
      <c r="D45" s="3452" t="s">
        <v>3508</v>
      </c>
      <c r="E45" s="3452" t="s">
        <v>3856</v>
      </c>
      <c r="F45" s="3452" t="s">
        <v>3857</v>
      </c>
      <c r="G45" s="3452" t="s">
        <v>3858</v>
      </c>
      <c r="H45" s="3452">
        <v>48407.51</v>
      </c>
      <c r="I45" s="3452">
        <v>96815.01</v>
      </c>
      <c r="J45" s="3452" t="s">
        <v>3673</v>
      </c>
      <c r="K45" s="3452" t="s">
        <v>3494</v>
      </c>
      <c r="L45" s="3452" t="s">
        <v>3495</v>
      </c>
      <c r="M45" s="3452" t="s">
        <v>3722</v>
      </c>
      <c r="N45" s="3452" t="s">
        <v>633</v>
      </c>
      <c r="O45" s="3452" t="s">
        <v>3512</v>
      </c>
      <c r="P45" s="3452" t="s">
        <v>3674</v>
      </c>
      <c r="Q45" s="3452" t="s">
        <v>633</v>
      </c>
      <c r="R45" s="3452" t="s">
        <v>633</v>
      </c>
      <c r="S45" s="3452" t="s">
        <v>633</v>
      </c>
      <c r="T45" s="3452" t="s">
        <v>633</v>
      </c>
      <c r="U45" s="3452" t="s">
        <v>3831</v>
      </c>
      <c r="V45" s="3452" t="s">
        <v>3497</v>
      </c>
      <c r="W45" s="3452" t="s">
        <v>633</v>
      </c>
      <c r="X45" s="3452" t="s">
        <v>3752</v>
      </c>
      <c r="Y45" s="3452" t="s">
        <v>3832</v>
      </c>
      <c r="Z45" s="3452" t="s">
        <v>3833</v>
      </c>
      <c r="AA45" s="3452" t="s">
        <v>3834</v>
      </c>
      <c r="AB45" s="3452" t="s">
        <v>3834</v>
      </c>
      <c r="AC45" s="3452" t="s">
        <v>3858</v>
      </c>
      <c r="AD45" s="3452" t="s">
        <v>3502</v>
      </c>
      <c r="AE45" s="3452" t="s">
        <v>3859</v>
      </c>
      <c r="AF45" s="3452" t="s">
        <v>3860</v>
      </c>
      <c r="AG45" s="3452">
        <v>30000</v>
      </c>
      <c r="AH45" s="3452">
        <v>145800</v>
      </c>
      <c r="AI45" s="3452">
        <v>145800</v>
      </c>
      <c r="AJ45" s="3452">
        <v>2007.95</v>
      </c>
      <c r="AK45" s="3452">
        <v>2007.95</v>
      </c>
      <c r="AL45" s="3452">
        <v>15059.64</v>
      </c>
      <c r="AM45" s="3452">
        <v>15059.65</v>
      </c>
      <c r="AN45" s="3452" t="s">
        <v>633</v>
      </c>
      <c r="AO45" s="3452" t="s">
        <v>633</v>
      </c>
      <c r="AP45" s="3452">
        <v>0</v>
      </c>
      <c r="AQ45" s="3452" t="s">
        <v>3543</v>
      </c>
      <c r="AR45" s="3452" t="s">
        <v>633</v>
      </c>
      <c r="AS45" s="3452" t="s">
        <v>633</v>
      </c>
      <c r="AT45" s="3452" t="s">
        <v>633</v>
      </c>
      <c r="AU45" s="3452" t="s">
        <v>3530</v>
      </c>
    </row>
    <row r="46" spans="1:47">
      <c r="A46" s="3452" t="s">
        <v>3861</v>
      </c>
      <c r="B46" s="3452" t="s">
        <v>3487</v>
      </c>
      <c r="C46" s="3452" t="s">
        <v>3488</v>
      </c>
      <c r="D46" s="3452" t="s">
        <v>3545</v>
      </c>
      <c r="E46" s="3452" t="s">
        <v>3557</v>
      </c>
      <c r="F46" s="3452" t="s">
        <v>3862</v>
      </c>
      <c r="G46" s="3452" t="s">
        <v>3863</v>
      </c>
      <c r="H46" s="3452">
        <v>105143.73</v>
      </c>
      <c r="I46" s="3452">
        <v>262859.32</v>
      </c>
      <c r="J46" s="3452" t="s">
        <v>3701</v>
      </c>
      <c r="K46" s="3452" t="s">
        <v>3494</v>
      </c>
      <c r="L46" s="3452" t="s">
        <v>3495</v>
      </c>
      <c r="M46" s="3452">
        <v>0</v>
      </c>
      <c r="N46" s="3452">
        <v>7.6086330000000002</v>
      </c>
      <c r="O46" s="3452" t="s">
        <v>3864</v>
      </c>
      <c r="P46" s="3452" t="s">
        <v>3674</v>
      </c>
      <c r="Q46" s="3452" t="s">
        <v>633</v>
      </c>
      <c r="R46" s="3452" t="s">
        <v>633</v>
      </c>
      <c r="S46" s="3452" t="s">
        <v>633</v>
      </c>
      <c r="T46" s="3452" t="s">
        <v>633</v>
      </c>
      <c r="U46" s="3452" t="s">
        <v>3865</v>
      </c>
      <c r="V46" s="3452" t="s">
        <v>3865</v>
      </c>
      <c r="W46" s="3452" t="s">
        <v>633</v>
      </c>
      <c r="X46" s="3452" t="s">
        <v>3752</v>
      </c>
      <c r="Y46" s="3452" t="s">
        <v>3866</v>
      </c>
      <c r="Z46" s="3452" t="s">
        <v>3867</v>
      </c>
      <c r="AA46" s="3452" t="s">
        <v>3868</v>
      </c>
      <c r="AB46" s="3452" t="s">
        <v>3868</v>
      </c>
      <c r="AC46" s="3452" t="s">
        <v>3863</v>
      </c>
      <c r="AD46" s="3452" t="s">
        <v>3502</v>
      </c>
      <c r="AE46" s="3452" t="s">
        <v>3869</v>
      </c>
      <c r="AF46" s="3452" t="s">
        <v>3870</v>
      </c>
      <c r="AG46" s="3452">
        <v>101000</v>
      </c>
      <c r="AH46" s="3452">
        <v>502000</v>
      </c>
      <c r="AI46" s="3452">
        <v>677700</v>
      </c>
      <c r="AJ46" s="3452">
        <v>3182.94</v>
      </c>
      <c r="AK46" s="3452">
        <v>4296.9799999999996</v>
      </c>
      <c r="AL46" s="3452">
        <v>19097.66</v>
      </c>
      <c r="AM46" s="3452">
        <v>25781.85</v>
      </c>
      <c r="AN46" s="3452" t="s">
        <v>633</v>
      </c>
      <c r="AO46" s="3452" t="s">
        <v>633</v>
      </c>
      <c r="AP46" s="3452">
        <v>35</v>
      </c>
      <c r="AQ46" s="3452" t="s">
        <v>3543</v>
      </c>
      <c r="AR46" s="3452" t="s">
        <v>633</v>
      </c>
      <c r="AS46" s="3452">
        <v>23</v>
      </c>
      <c r="AT46" s="3452" t="s">
        <v>633</v>
      </c>
      <c r="AU46" s="3452" t="s">
        <v>3506</v>
      </c>
    </row>
    <row r="47" spans="1:47">
      <c r="A47" s="3452" t="s">
        <v>3871</v>
      </c>
      <c r="B47" s="3452" t="s">
        <v>3487</v>
      </c>
      <c r="C47" s="3452" t="s">
        <v>3488</v>
      </c>
      <c r="D47" s="3452" t="s">
        <v>3545</v>
      </c>
      <c r="E47" s="3452" t="s">
        <v>3749</v>
      </c>
      <c r="F47" s="3452" t="s">
        <v>3872</v>
      </c>
      <c r="G47" s="3452" t="s">
        <v>3873</v>
      </c>
      <c r="H47" s="3452">
        <v>57208.800000000003</v>
      </c>
      <c r="I47" s="3452">
        <v>91534.080000000002</v>
      </c>
      <c r="J47" s="3452" t="s">
        <v>3850</v>
      </c>
      <c r="K47" s="3452" t="s">
        <v>3494</v>
      </c>
      <c r="L47" s="3452" t="s">
        <v>3550</v>
      </c>
      <c r="M47" s="3452">
        <v>0</v>
      </c>
      <c r="N47" s="3452" t="s">
        <v>633</v>
      </c>
      <c r="O47" s="3452" t="s">
        <v>3512</v>
      </c>
      <c r="P47" s="3452" t="s">
        <v>3874</v>
      </c>
      <c r="Q47" s="3452" t="s">
        <v>633</v>
      </c>
      <c r="R47" s="3452" t="s">
        <v>633</v>
      </c>
      <c r="S47" s="3452" t="s">
        <v>633</v>
      </c>
      <c r="T47" s="3452" t="s">
        <v>633</v>
      </c>
      <c r="U47" s="3452" t="s">
        <v>3875</v>
      </c>
      <c r="V47" s="3452" t="s">
        <v>3497</v>
      </c>
      <c r="W47" s="3452" t="s">
        <v>633</v>
      </c>
      <c r="X47" s="3452" t="s">
        <v>3752</v>
      </c>
      <c r="Y47" s="3452" t="s">
        <v>3876</v>
      </c>
      <c r="Z47" s="3452" t="s">
        <v>3877</v>
      </c>
      <c r="AA47" s="3452" t="s">
        <v>3878</v>
      </c>
      <c r="AB47" s="3452" t="s">
        <v>3878</v>
      </c>
      <c r="AC47" s="3452" t="s">
        <v>3873</v>
      </c>
      <c r="AD47" s="3452" t="s">
        <v>3502</v>
      </c>
      <c r="AE47" s="3452" t="s">
        <v>3879</v>
      </c>
      <c r="AF47" s="3452" t="s">
        <v>3754</v>
      </c>
      <c r="AG47" s="3452">
        <v>36000</v>
      </c>
      <c r="AH47" s="3452">
        <v>177000</v>
      </c>
      <c r="AI47" s="3452">
        <v>205000</v>
      </c>
      <c r="AJ47" s="3452">
        <v>2062.62</v>
      </c>
      <c r="AK47" s="3452">
        <v>2388.91</v>
      </c>
      <c r="AL47" s="3452">
        <v>19337.060000000001</v>
      </c>
      <c r="AM47" s="3452">
        <v>22396.03</v>
      </c>
      <c r="AN47" s="3452" t="s">
        <v>633</v>
      </c>
      <c r="AO47" s="3452" t="s">
        <v>633</v>
      </c>
      <c r="AP47" s="3452">
        <v>15.82</v>
      </c>
      <c r="AQ47" s="3452" t="s">
        <v>3543</v>
      </c>
      <c r="AR47" s="3452" t="s">
        <v>633</v>
      </c>
      <c r="AS47" s="3452" t="s">
        <v>633</v>
      </c>
      <c r="AT47" s="3452" t="s">
        <v>633</v>
      </c>
      <c r="AU47" s="3452" t="s">
        <v>3506</v>
      </c>
    </row>
    <row r="48" spans="1:47">
      <c r="A48" s="3452" t="s">
        <v>3880</v>
      </c>
      <c r="B48" s="3452" t="s">
        <v>3487</v>
      </c>
      <c r="C48" s="3452" t="s">
        <v>3488</v>
      </c>
      <c r="D48" s="3452" t="s">
        <v>3508</v>
      </c>
      <c r="E48" s="3452" t="s">
        <v>3881</v>
      </c>
      <c r="F48" s="3452" t="s">
        <v>3731</v>
      </c>
      <c r="G48" s="3452" t="s">
        <v>3882</v>
      </c>
      <c r="H48" s="3452">
        <v>56860.73</v>
      </c>
      <c r="I48" s="3452">
        <v>133065.75</v>
      </c>
      <c r="J48" s="3452" t="s">
        <v>3883</v>
      </c>
      <c r="K48" s="3452" t="s">
        <v>3494</v>
      </c>
      <c r="L48" s="3452" t="s">
        <v>3495</v>
      </c>
      <c r="M48" s="3452">
        <v>0</v>
      </c>
      <c r="N48" s="3452" t="s">
        <v>633</v>
      </c>
      <c r="O48" s="3452" t="s">
        <v>633</v>
      </c>
      <c r="P48" s="3452" t="s">
        <v>633</v>
      </c>
      <c r="Q48" s="3452" t="s">
        <v>633</v>
      </c>
      <c r="R48" s="3452" t="s">
        <v>633</v>
      </c>
      <c r="S48" s="3452" t="s">
        <v>633</v>
      </c>
      <c r="T48" s="3452" t="s">
        <v>633</v>
      </c>
      <c r="U48" s="3452" t="s">
        <v>3875</v>
      </c>
      <c r="V48" s="3452" t="s">
        <v>3497</v>
      </c>
      <c r="W48" s="3452" t="s">
        <v>633</v>
      </c>
      <c r="X48" s="3452" t="s">
        <v>3767</v>
      </c>
      <c r="Y48" s="3452" t="s">
        <v>3876</v>
      </c>
      <c r="Z48" s="3452" t="s">
        <v>3877</v>
      </c>
      <c r="AA48" s="3452" t="s">
        <v>3878</v>
      </c>
      <c r="AB48" s="3452" t="s">
        <v>3878</v>
      </c>
      <c r="AC48" s="3452" t="s">
        <v>3882</v>
      </c>
      <c r="AD48" s="3452" t="s">
        <v>3502</v>
      </c>
      <c r="AE48" s="3452" t="s">
        <v>3884</v>
      </c>
      <c r="AF48" s="3452" t="s">
        <v>3885</v>
      </c>
      <c r="AG48" s="3452">
        <v>85000</v>
      </c>
      <c r="AH48" s="3452">
        <v>420000</v>
      </c>
      <c r="AI48" s="3452">
        <v>465700</v>
      </c>
      <c r="AJ48" s="3452">
        <v>4924.3100000000004</v>
      </c>
      <c r="AK48" s="3452">
        <v>5460.12</v>
      </c>
      <c r="AL48" s="3452">
        <v>31563.34</v>
      </c>
      <c r="AM48" s="3452">
        <v>34997.74</v>
      </c>
      <c r="AN48" s="3452" t="s">
        <v>633</v>
      </c>
      <c r="AO48" s="3452" t="s">
        <v>633</v>
      </c>
      <c r="AP48" s="3452">
        <v>10.88</v>
      </c>
      <c r="AQ48" s="3452" t="s">
        <v>3543</v>
      </c>
      <c r="AR48" s="3452">
        <v>21</v>
      </c>
      <c r="AS48" s="3452" t="s">
        <v>633</v>
      </c>
      <c r="AT48" s="3452" t="s">
        <v>633</v>
      </c>
      <c r="AU48" s="3452" t="s">
        <v>3506</v>
      </c>
    </row>
    <row r="49" spans="1:47">
      <c r="A49" s="3452" t="s">
        <v>3886</v>
      </c>
      <c r="B49" s="3452" t="s">
        <v>3487</v>
      </c>
      <c r="C49" s="3452" t="s">
        <v>3488</v>
      </c>
      <c r="D49" s="3452" t="s">
        <v>3631</v>
      </c>
      <c r="E49" s="3452" t="s">
        <v>3632</v>
      </c>
      <c r="F49" s="3452" t="s">
        <v>3887</v>
      </c>
      <c r="G49" s="3452" t="s">
        <v>3888</v>
      </c>
      <c r="H49" s="3452">
        <v>13681.37</v>
      </c>
      <c r="I49" s="3452">
        <v>38307.82</v>
      </c>
      <c r="J49" s="3452" t="s">
        <v>3493</v>
      </c>
      <c r="K49" s="3452" t="s">
        <v>3494</v>
      </c>
      <c r="L49" s="3452" t="s">
        <v>3550</v>
      </c>
      <c r="M49" s="3452">
        <v>0</v>
      </c>
      <c r="N49" s="3452" t="s">
        <v>633</v>
      </c>
      <c r="O49" s="3452" t="s">
        <v>633</v>
      </c>
      <c r="P49" s="3452" t="s">
        <v>3889</v>
      </c>
      <c r="Q49" s="3452" t="s">
        <v>633</v>
      </c>
      <c r="R49" s="3452" t="s">
        <v>633</v>
      </c>
      <c r="S49" s="3452" t="s">
        <v>633</v>
      </c>
      <c r="T49" s="3452" t="s">
        <v>633</v>
      </c>
      <c r="U49" s="3452" t="s">
        <v>3875</v>
      </c>
      <c r="V49" s="3452" t="s">
        <v>3497</v>
      </c>
      <c r="W49" s="3452" t="s">
        <v>633</v>
      </c>
      <c r="X49" s="3452" t="s">
        <v>3752</v>
      </c>
      <c r="Y49" s="3452" t="s">
        <v>3890</v>
      </c>
      <c r="Z49" s="3452" t="s">
        <v>3866</v>
      </c>
      <c r="AA49" s="3452" t="s">
        <v>3891</v>
      </c>
      <c r="AB49" s="3452" t="s">
        <v>3891</v>
      </c>
      <c r="AC49" s="3452" t="s">
        <v>3888</v>
      </c>
      <c r="AD49" s="3452" t="s">
        <v>3502</v>
      </c>
      <c r="AE49" s="3452" t="s">
        <v>3892</v>
      </c>
      <c r="AF49" s="3452" t="s">
        <v>3641</v>
      </c>
      <c r="AG49" s="3452">
        <v>35000</v>
      </c>
      <c r="AH49" s="3452">
        <v>173500</v>
      </c>
      <c r="AI49" s="3452">
        <v>179000</v>
      </c>
      <c r="AJ49" s="3452">
        <v>8454.32</v>
      </c>
      <c r="AK49" s="3452">
        <v>8722.32</v>
      </c>
      <c r="AL49" s="3452">
        <v>45291.01</v>
      </c>
      <c r="AM49" s="3452">
        <v>46726.75</v>
      </c>
      <c r="AN49" s="3452" t="s">
        <v>633</v>
      </c>
      <c r="AO49" s="3452" t="s">
        <v>633</v>
      </c>
      <c r="AP49" s="3452">
        <v>3.17</v>
      </c>
      <c r="AQ49" s="3452" t="s">
        <v>3543</v>
      </c>
      <c r="AR49" s="3452" t="s">
        <v>633</v>
      </c>
      <c r="AS49" s="3452" t="s">
        <v>633</v>
      </c>
      <c r="AT49" s="3452" t="s">
        <v>633</v>
      </c>
      <c r="AU49" s="3452" t="s">
        <v>3642</v>
      </c>
    </row>
    <row r="50" spans="1:47">
      <c r="A50" s="3452" t="s">
        <v>3893</v>
      </c>
      <c r="B50" s="3452" t="s">
        <v>3487</v>
      </c>
      <c r="C50" s="3452" t="s">
        <v>3488</v>
      </c>
      <c r="D50" s="3452" t="s">
        <v>3894</v>
      </c>
      <c r="E50" s="3452" t="s">
        <v>3895</v>
      </c>
      <c r="F50" s="3452" t="s">
        <v>3896</v>
      </c>
      <c r="G50" s="3452" t="s">
        <v>3897</v>
      </c>
      <c r="H50" s="3452">
        <v>42031.040000000001</v>
      </c>
      <c r="I50" s="3452">
        <v>84062</v>
      </c>
      <c r="J50" s="3452" t="s">
        <v>3673</v>
      </c>
      <c r="K50" s="3452" t="s">
        <v>3494</v>
      </c>
      <c r="L50" s="3452" t="s">
        <v>3495</v>
      </c>
      <c r="M50" s="3452">
        <v>0</v>
      </c>
      <c r="N50" s="3452" t="s">
        <v>633</v>
      </c>
      <c r="O50" s="3452" t="s">
        <v>3512</v>
      </c>
      <c r="P50" s="3452" t="s">
        <v>3874</v>
      </c>
      <c r="Q50" s="3452" t="s">
        <v>633</v>
      </c>
      <c r="R50" s="3452" t="s">
        <v>633</v>
      </c>
      <c r="S50" s="3452" t="s">
        <v>633</v>
      </c>
      <c r="T50" s="3452" t="s">
        <v>633</v>
      </c>
      <c r="U50" s="3452" t="s">
        <v>3875</v>
      </c>
      <c r="V50" s="3452" t="s">
        <v>3497</v>
      </c>
      <c r="W50" s="3452" t="s">
        <v>633</v>
      </c>
      <c r="X50" s="3452" t="s">
        <v>3752</v>
      </c>
      <c r="Y50" s="3452" t="s">
        <v>3898</v>
      </c>
      <c r="Z50" s="3452" t="s">
        <v>3899</v>
      </c>
      <c r="AA50" s="3452" t="s">
        <v>3900</v>
      </c>
      <c r="AB50" s="3452" t="s">
        <v>3900</v>
      </c>
      <c r="AC50" s="3452" t="s">
        <v>3897</v>
      </c>
      <c r="AD50" s="3452" t="s">
        <v>3502</v>
      </c>
      <c r="AE50" s="3452" t="s">
        <v>3901</v>
      </c>
      <c r="AF50" s="3452" t="s">
        <v>3902</v>
      </c>
      <c r="AG50" s="3452">
        <v>39500</v>
      </c>
      <c r="AH50" s="3452">
        <v>197100</v>
      </c>
      <c r="AI50" s="3452">
        <v>197100</v>
      </c>
      <c r="AJ50" s="3452">
        <v>3126.26</v>
      </c>
      <c r="AK50" s="3452">
        <v>3126.26</v>
      </c>
      <c r="AL50" s="3452">
        <v>23446.98</v>
      </c>
      <c r="AM50" s="3452">
        <v>23446.98</v>
      </c>
      <c r="AN50" s="3452" t="s">
        <v>633</v>
      </c>
      <c r="AO50" s="3452" t="s">
        <v>633</v>
      </c>
      <c r="AP50" s="3452">
        <v>0</v>
      </c>
      <c r="AQ50" s="3452" t="s">
        <v>3543</v>
      </c>
      <c r="AR50" s="3452" t="s">
        <v>633</v>
      </c>
      <c r="AS50" s="3452" t="s">
        <v>633</v>
      </c>
      <c r="AT50" s="3452" t="s">
        <v>633</v>
      </c>
      <c r="AU50" s="3452" t="s">
        <v>3530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 sqref="D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8</v>
      </c>
    </row>
    <row r="2" spans="1:33" ht="18" customHeight="1">
      <c r="A2" s="201" t="s">
        <v>1462</v>
      </c>
      <c r="B2" s="204">
        <f ca="1">C32</f>
        <v>78812</v>
      </c>
      <c r="C2" s="276" t="s">
        <v>1595</v>
      </c>
      <c r="D2" s="276"/>
      <c r="E2" s="2802"/>
      <c r="F2" s="2802"/>
      <c r="G2" s="2802"/>
      <c r="H2" s="2802"/>
      <c r="I2" s="2802"/>
      <c r="J2" s="2802"/>
      <c r="K2" s="2802"/>
    </row>
    <row r="3" spans="1:33" ht="18" customHeight="1" thickBot="1">
      <c r="A3" s="203" t="s">
        <v>1464</v>
      </c>
      <c r="B3" s="204">
        <f ca="1">ROUND(B2*10000/IF(C1="",'数据-汇总表'!E3,INDIRECT("'数据-取费表'!K"&amp;$K$1)),0)</f>
        <v>17532</v>
      </c>
      <c r="C3" s="276" t="s">
        <v>1596</v>
      </c>
      <c r="D3" s="276"/>
      <c r="E3" s="2802"/>
      <c r="F3" s="2802"/>
      <c r="G3" s="2802"/>
      <c r="H3" s="2802"/>
      <c r="I3" s="2802"/>
      <c r="J3" s="2802"/>
      <c r="K3" s="2802"/>
    </row>
    <row r="4" spans="1:33" s="785" customFormat="1" ht="16.5" customHeight="1">
      <c r="A4" s="782" t="s">
        <v>1597</v>
      </c>
      <c r="B4" s="783"/>
      <c r="C4" s="824">
        <f ca="1">SUM(C8:K8)</f>
        <v>129985</v>
      </c>
      <c r="D4" s="783"/>
      <c r="E4" s="783"/>
      <c r="F4" s="783"/>
      <c r="G4" s="783"/>
      <c r="H4" s="783"/>
      <c r="I4" s="783"/>
      <c r="J4" s="783"/>
      <c r="K4" s="784"/>
    </row>
    <row r="5" spans="1:33" s="789" customFormat="1" ht="15">
      <c r="A5" s="786" t="s">
        <v>1598</v>
      </c>
      <c r="B5" s="787" t="s">
        <v>1599</v>
      </c>
      <c r="C5" s="1859" t="s">
        <v>3382</v>
      </c>
      <c r="D5" s="1859" t="s">
        <v>3925</v>
      </c>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36945</v>
      </c>
      <c r="D6" s="791">
        <f ca="1">收益法!B3</f>
        <v>2438</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34610.639999999999</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127869</v>
      </c>
      <c r="D8" s="825">
        <f ca="1">收益法!B2</f>
        <v>2116</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16596</v>
      </c>
      <c r="D11" s="802"/>
      <c r="E11" s="329"/>
      <c r="F11" s="812">
        <f ca="1">1-IF('数据-取费表'!B24=0,1,IF(C1="",'数据-取费表'!N16,INDIRECT("'数据-取费表'!n"&amp;$K$1)))</f>
        <v>0.96</v>
      </c>
      <c r="G11" s="5"/>
      <c r="H11" s="797"/>
      <c r="I11" s="797"/>
      <c r="J11" s="797"/>
      <c r="K11" s="798"/>
    </row>
    <row r="12" spans="1:33" s="803" customFormat="1" ht="13.5" customHeight="1">
      <c r="A12" s="800" t="s">
        <v>636</v>
      </c>
      <c r="B12" s="801" t="s">
        <v>1613</v>
      </c>
      <c r="C12" s="21">
        <f ca="1">ROUND(C11*F12,0)</f>
        <v>498</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691</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863</v>
      </c>
      <c r="D14" s="846">
        <f ca="1">IF(C1="",'数据-汇总表'!E3,INDIRECT("'数据-取费表'!K"&amp;$K$1)+INDIRECT("'数据-取费表'!S"&amp;$K$1))</f>
        <v>44954.17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249</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18897</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44954.17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519</v>
      </c>
      <c r="D19" s="846">
        <f ca="1">IF(C1="",'数据-汇总表'!E5,IF(INDIRECT("'数据-取费表'!c"&amp;$K$1)="住宅",INDIRECT("'数据-取费表'!k"&amp;$K$1),0))</f>
        <v>34610.639999999999</v>
      </c>
      <c r="E19" s="21">
        <f>'数据-取费表'!B27</f>
        <v>150</v>
      </c>
      <c r="F19" s="804"/>
      <c r="G19" s="12"/>
      <c r="H19" s="1188"/>
      <c r="I19" s="809"/>
      <c r="J19" s="809"/>
      <c r="K19" s="810"/>
    </row>
    <row r="20" spans="1:33" s="803" customFormat="1" ht="13.5" customHeight="1">
      <c r="A20" s="800" t="s">
        <v>361</v>
      </c>
      <c r="B20" s="801" t="s">
        <v>1627</v>
      </c>
      <c r="C20" s="21">
        <f ca="1">ROUND(D20*E20/10000,0)</f>
        <v>197</v>
      </c>
      <c r="D20" s="846">
        <f ca="1">IF(C1="",'数据-汇总表'!E6,IF(INDIRECT("'数据-取费表'!c"&amp;$K$1)="住宅",INDIRECT("'数据-取费表'!s"&amp;$K$1),INDIRECT("'数据-取费表'!k"&amp;$K$1)+INDIRECT("'数据-取费表'!s"&amp;$K$1)))</f>
        <v>10343.529999999999</v>
      </c>
      <c r="E20" s="21">
        <f>'数据-取费表'!B28</f>
        <v>190</v>
      </c>
      <c r="F20" s="804"/>
      <c r="G20" s="12"/>
      <c r="H20" s="809"/>
      <c r="I20" s="809"/>
      <c r="J20" s="809"/>
      <c r="K20" s="810"/>
    </row>
    <row r="21" spans="1:33" s="803" customFormat="1" ht="13.5" customHeight="1">
      <c r="A21" s="790" t="s">
        <v>357</v>
      </c>
      <c r="B21" s="813" t="s">
        <v>1628</v>
      </c>
      <c r="C21" s="814">
        <f ca="1">C16+C17+C18</f>
        <v>18897</v>
      </c>
      <c r="D21" s="815"/>
      <c r="E21" s="281"/>
      <c r="F21" s="281"/>
      <c r="G21" s="131" t="s">
        <v>1629</v>
      </c>
      <c r="H21" s="807"/>
      <c r="I21" s="807"/>
      <c r="J21" s="807"/>
      <c r="K21" s="808"/>
    </row>
    <row r="22" spans="1:33" s="803" customFormat="1" ht="13.5" customHeight="1">
      <c r="A22" s="790" t="s">
        <v>1601</v>
      </c>
      <c r="B22" s="813" t="s">
        <v>1630</v>
      </c>
      <c r="C22" s="814">
        <f ca="1">ROUND(C21*F22,0)</f>
        <v>378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2496</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741</v>
      </c>
      <c r="D25" s="280">
        <f ca="1">C26</f>
        <v>7.1300000000000002E-2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7.1300000000000002E-2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741</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3048</v>
      </c>
      <c r="D28" s="280">
        <f ca="1">C29</f>
        <v>0.13830000000000001</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0.13830000000000001</v>
      </c>
      <c r="D29" s="284"/>
      <c r="E29" s="285"/>
      <c r="F29" s="290"/>
      <c r="G29" s="131" t="s">
        <v>1644</v>
      </c>
      <c r="H29" s="807"/>
      <c r="I29" s="807"/>
      <c r="J29" s="807"/>
      <c r="K29" s="808"/>
    </row>
    <row r="30" spans="1:33" s="291" customFormat="1" ht="13.5" customHeight="1">
      <c r="A30" s="800" t="s">
        <v>359</v>
      </c>
      <c r="B30" s="822" t="s">
        <v>1645</v>
      </c>
      <c r="C30" s="292">
        <f ca="1">ROUND((C21+C22+C23)*F28,0)</f>
        <v>3048</v>
      </c>
      <c r="D30" s="284"/>
      <c r="E30" s="285"/>
      <c r="F30" s="290"/>
      <c r="G30" s="131"/>
      <c r="H30" s="807"/>
      <c r="I30" s="807"/>
      <c r="J30" s="807"/>
      <c r="K30" s="808"/>
    </row>
    <row r="31" spans="1:33" s="803" customFormat="1" ht="13.5" customHeight="1" thickBot="1">
      <c r="A31" s="1865" t="s">
        <v>1646</v>
      </c>
      <c r="B31" s="833" t="s">
        <v>1647</v>
      </c>
      <c r="C31" s="834">
        <f ca="1">ROUND(C4*F31/(1+'数据-取费表'!C42),0)</f>
        <v>6809</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78812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M31" sqref="M3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3382</v>
      </c>
      <c r="E1" s="3422" t="s">
        <v>3926</v>
      </c>
      <c r="F1" s="1878" t="s">
        <v>3927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127869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36945</v>
      </c>
      <c r="C3" s="354" t="s">
        <v>1665</v>
      </c>
      <c r="D3" s="353">
        <f>IF(D1="",'数据-汇总表'!E3,SUMIF('数据-汇总表'!$C19:$C33,D1,'数据-汇总表'!$E19:$E33))</f>
        <v>34610.639999999999</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674" t="s">
        <v>1667</v>
      </c>
      <c r="D4" s="3686"/>
      <c r="E4" s="3687" t="s">
        <v>1668</v>
      </c>
      <c r="F4" s="3688"/>
      <c r="G4" s="3674" t="s">
        <v>1669</v>
      </c>
      <c r="H4" s="3686"/>
      <c r="I4" s="3674" t="s">
        <v>1670</v>
      </c>
      <c r="J4" s="3686"/>
      <c r="K4" s="1888" t="s">
        <v>1671</v>
      </c>
      <c r="L4" s="2711"/>
      <c r="M4" s="2712"/>
      <c r="N4" s="2712"/>
      <c r="O4" s="2712"/>
      <c r="P4" s="3689" t="s">
        <v>1672</v>
      </c>
      <c r="Q4" s="3690"/>
      <c r="R4" s="3695" t="s">
        <v>1668</v>
      </c>
      <c r="S4" s="3696"/>
      <c r="T4" s="3695" t="s">
        <v>1669</v>
      </c>
      <c r="U4" s="3696"/>
      <c r="V4" s="3682" t="s">
        <v>1670</v>
      </c>
      <c r="W4" s="3682"/>
      <c r="X4" s="1354"/>
      <c r="Y4" s="3695" t="s">
        <v>1672</v>
      </c>
      <c r="Z4" s="3696"/>
      <c r="AA4" s="3683" t="s">
        <v>1668</v>
      </c>
      <c r="AB4" s="3683" t="s">
        <v>1669</v>
      </c>
      <c r="AC4" s="3683" t="s">
        <v>1670</v>
      </c>
    </row>
    <row r="5" spans="1:29" ht="15">
      <c r="A5" s="358"/>
      <c r="B5" s="359"/>
      <c r="C5" s="3703" t="s">
        <v>1673</v>
      </c>
      <c r="D5" s="3704"/>
      <c r="E5" s="3710" t="str">
        <f>住宅案例!$A$1</f>
        <v>中海云筑</v>
      </c>
      <c r="F5" s="3711"/>
      <c r="G5" s="3703" t="str">
        <f>住宅案例!$A$54</f>
        <v>大兴金茂悦</v>
      </c>
      <c r="H5" s="3704"/>
      <c r="I5" s="3703" t="str">
        <f>住宅案例!$A$102</f>
        <v>中海云熙</v>
      </c>
      <c r="J5" s="3704"/>
      <c r="K5" s="1889"/>
      <c r="L5" s="2711"/>
      <c r="M5" s="2712"/>
      <c r="N5" s="2712"/>
      <c r="O5" s="2712"/>
      <c r="P5" s="3691"/>
      <c r="Q5" s="3692"/>
      <c r="R5" s="3697"/>
      <c r="S5" s="3698"/>
      <c r="T5" s="3697"/>
      <c r="U5" s="3698"/>
      <c r="V5" s="3682"/>
      <c r="W5" s="3682"/>
      <c r="X5" s="1354"/>
      <c r="Y5" s="3697"/>
      <c r="Z5" s="3698"/>
      <c r="AA5" s="3684"/>
      <c r="AB5" s="3684"/>
      <c r="AC5" s="3684"/>
    </row>
    <row r="6" spans="1:29" ht="15.75" thickBot="1">
      <c r="A6" s="360"/>
      <c r="B6" s="361"/>
      <c r="C6" s="3701" t="s">
        <v>1677</v>
      </c>
      <c r="D6" s="3702"/>
      <c r="E6" s="3708" t="s">
        <v>1677</v>
      </c>
      <c r="F6" s="3709"/>
      <c r="G6" s="3701" t="s">
        <v>1677</v>
      </c>
      <c r="H6" s="3702"/>
      <c r="I6" s="3701" t="s">
        <v>1677</v>
      </c>
      <c r="J6" s="3702"/>
      <c r="K6" s="1889" t="s">
        <v>1678</v>
      </c>
      <c r="L6" s="2711"/>
      <c r="M6" s="2712"/>
      <c r="N6" s="2712"/>
      <c r="O6" s="2712"/>
      <c r="P6" s="3693"/>
      <c r="Q6" s="3694"/>
      <c r="R6" s="3697"/>
      <c r="S6" s="3698"/>
      <c r="T6" s="3699"/>
      <c r="U6" s="3700"/>
      <c r="V6" s="3682"/>
      <c r="W6" s="3682"/>
      <c r="X6" s="1354"/>
      <c r="Y6" s="3699"/>
      <c r="Z6" s="3700"/>
      <c r="AA6" s="3685"/>
      <c r="AB6" s="3685"/>
      <c r="AC6" s="3685"/>
    </row>
    <row r="7" spans="1:29" s="108" customFormat="1" ht="15.75" thickBot="1">
      <c r="A7" s="362" t="s">
        <v>1679</v>
      </c>
      <c r="B7" s="363"/>
      <c r="C7" s="364">
        <f>'数据-取费表'!B2</f>
        <v>45132</v>
      </c>
      <c r="D7" s="365">
        <v>100</v>
      </c>
      <c r="E7" s="366">
        <f>C7</f>
        <v>45132</v>
      </c>
      <c r="F7" s="367">
        <f>SUMIF(58:58,YEAR(E7)&amp;"-"&amp;MONTH(E7),59:59)</f>
        <v>100</v>
      </c>
      <c r="G7" s="366">
        <f>C7</f>
        <v>45132</v>
      </c>
      <c r="H7" s="365">
        <f>SUMIF(58:58,YEAR(G7)&amp;"-"&amp;MONTH(G7),59:59)</f>
        <v>100</v>
      </c>
      <c r="I7" s="366">
        <f>C7</f>
        <v>45132</v>
      </c>
      <c r="J7" s="365">
        <f>SUMIF(58:58,YEAR(I7)&amp;"-"&amp;MONTH(I7),59:59)</f>
        <v>100</v>
      </c>
      <c r="K7" s="1890"/>
      <c r="L7" s="2713"/>
      <c r="M7" s="2714"/>
      <c r="N7" s="2714"/>
      <c r="O7" s="2714"/>
      <c r="P7" s="3705" t="s">
        <v>1680</v>
      </c>
      <c r="Q7" s="3707"/>
      <c r="R7" s="701" t="s">
        <v>20</v>
      </c>
      <c r="S7" s="702">
        <f t="shared" ref="S7:S15" si="0">F7</f>
        <v>100</v>
      </c>
      <c r="T7" s="701" t="s">
        <v>20</v>
      </c>
      <c r="U7" s="702">
        <f t="shared" ref="U7:U15" si="1">H7</f>
        <v>100</v>
      </c>
      <c r="V7" s="701" t="s">
        <v>20</v>
      </c>
      <c r="W7" s="702">
        <f t="shared" ref="W7:W15" si="2">J7</f>
        <v>100</v>
      </c>
      <c r="X7" s="703"/>
      <c r="Y7" s="3705" t="s">
        <v>1680</v>
      </c>
      <c r="Z7" s="3706"/>
      <c r="AA7" s="704">
        <f>D7/F7</f>
        <v>1</v>
      </c>
      <c r="AB7" s="704">
        <f>D7/H7</f>
        <v>1</v>
      </c>
      <c r="AC7" s="704">
        <f>D7/J7</f>
        <v>1</v>
      </c>
    </row>
    <row r="8" spans="1:29" s="108" customFormat="1" ht="15.75" thickBot="1">
      <c r="A8" s="362" t="s">
        <v>1681</v>
      </c>
      <c r="B8" s="363"/>
      <c r="C8" s="3467" t="s">
        <v>3936</v>
      </c>
      <c r="D8" s="365">
        <v>100</v>
      </c>
      <c r="E8" s="3468" t="s">
        <v>3936</v>
      </c>
      <c r="F8" s="367">
        <f>SUMIF(61:61,E8,62:62)-SUMIF(61:61,C8,62:62)+100</f>
        <v>100</v>
      </c>
      <c r="G8" s="3467" t="s">
        <v>3936</v>
      </c>
      <c r="H8" s="365">
        <f>SUMIF(61:61,G8,62:62)-SUMIF(61:61,C8,62:62)+100</f>
        <v>100</v>
      </c>
      <c r="I8" s="3468" t="s">
        <v>3937</v>
      </c>
      <c r="J8" s="365">
        <f>SUMIF(61:61,I8,62:62)-SUMIF(61:61,C8,62:62)+100</f>
        <v>100</v>
      </c>
      <c r="K8" s="1890"/>
      <c r="L8" s="2713"/>
      <c r="M8" s="2714"/>
      <c r="N8" s="2714"/>
      <c r="O8" s="2714"/>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469" t="s">
        <v>3938</v>
      </c>
      <c r="D9" s="126">
        <v>100</v>
      </c>
      <c r="E9" s="3470" t="s">
        <v>3938</v>
      </c>
      <c r="F9" s="372">
        <f>SUMIF(63:63,E9,64:64)-SUMIF(63:63,C9,64:64)+100</f>
        <v>100</v>
      </c>
      <c r="G9" s="3471" t="s">
        <v>3938</v>
      </c>
      <c r="H9" s="126">
        <f>SUMIF(63:63,G9,64:64)-SUMIF(63:63,C9,64:64)+100</f>
        <v>100</v>
      </c>
      <c r="I9" s="3471" t="s">
        <v>3938</v>
      </c>
      <c r="J9" s="126">
        <f>SUMIF(63:63,I9,64:64)-SUMIF(63:63,C9,64:64)+100</f>
        <v>100</v>
      </c>
      <c r="K9" s="1890"/>
      <c r="L9" s="2713"/>
      <c r="M9" s="2714"/>
      <c r="N9" s="2714"/>
      <c r="O9" s="2714"/>
      <c r="P9" s="3676"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6"/>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f>'数据-汇总表'!I6</f>
        <v>1.89</v>
      </c>
      <c r="D11" s="127">
        <v>100</v>
      </c>
      <c r="E11" s="381">
        <v>1.6</v>
      </c>
      <c r="F11" s="376">
        <f>LOOKUP(E11,68:68,69:69)-LOOKUP(C11,68:68,69:69)+100</f>
        <v>100</v>
      </c>
      <c r="G11" s="380">
        <v>2.2000000000000002</v>
      </c>
      <c r="H11" s="127">
        <f>LOOKUP(G11,68:68,69:69)-LOOKUP(C11,68:68,69:69)+100</f>
        <v>98</v>
      </c>
      <c r="I11" s="380">
        <v>2</v>
      </c>
      <c r="J11" s="127">
        <f>LOOKUP(I11,68:68,69:69)-LOOKUP(C11,68:68,69:69)+100</f>
        <v>98</v>
      </c>
      <c r="K11" s="377">
        <v>2</v>
      </c>
      <c r="L11" s="2717"/>
      <c r="M11" s="2712"/>
      <c r="N11" s="2712"/>
      <c r="O11" s="2712"/>
      <c r="P11" s="3676"/>
      <c r="Q11" s="1342" t="str">
        <f t="shared" si="6"/>
        <v>容积率</v>
      </c>
      <c r="R11" s="701" t="s">
        <v>18</v>
      </c>
      <c r="S11" s="702">
        <f t="shared" si="0"/>
        <v>100</v>
      </c>
      <c r="T11" s="701" t="s">
        <v>18</v>
      </c>
      <c r="U11" s="702">
        <f t="shared" si="1"/>
        <v>98</v>
      </c>
      <c r="V11" s="701" t="s">
        <v>18</v>
      </c>
      <c r="W11" s="702">
        <f t="shared" si="2"/>
        <v>98</v>
      </c>
      <c r="X11" s="703"/>
      <c r="Y11" s="3574"/>
      <c r="Z11" s="52" t="str">
        <f t="shared" si="7"/>
        <v>容积率</v>
      </c>
      <c r="AA11" s="704">
        <f t="shared" si="3"/>
        <v>1</v>
      </c>
      <c r="AB11" s="704">
        <f t="shared" si="4"/>
        <v>1.0204081632653061</v>
      </c>
      <c r="AC11" s="704">
        <f t="shared" si="5"/>
        <v>1.0204081632653061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76"/>
      <c r="Q12" s="1342">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76"/>
      <c r="Q13" s="1342">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76"/>
      <c r="Q14" s="1342">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718" t="s">
        <v>1691</v>
      </c>
      <c r="Q15" s="1351" t="str">
        <f t="shared" si="6"/>
        <v>居住社区成熟度</v>
      </c>
      <c r="R15" s="705" t="s">
        <v>18</v>
      </c>
      <c r="S15" s="706">
        <f t="shared" si="0"/>
        <v>100</v>
      </c>
      <c r="T15" s="705" t="s">
        <v>18</v>
      </c>
      <c r="U15" s="706">
        <f t="shared" si="1"/>
        <v>100</v>
      </c>
      <c r="V15" s="705" t="s">
        <v>18</v>
      </c>
      <c r="W15" s="706">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456" t="s">
        <v>3958</v>
      </c>
      <c r="D16" s="399"/>
      <c r="E16" s="3458" t="s">
        <v>3960</v>
      </c>
      <c r="F16" s="399"/>
      <c r="G16" s="3457" t="s">
        <v>3960</v>
      </c>
      <c r="H16" s="401"/>
      <c r="I16" s="3457" t="s">
        <v>3960</v>
      </c>
      <c r="J16" s="399"/>
      <c r="K16" s="1897"/>
      <c r="L16" s="2718"/>
      <c r="M16" s="2712"/>
      <c r="N16" s="2712"/>
      <c r="O16" s="2712"/>
      <c r="P16" s="3719"/>
      <c r="Q16" s="1351"/>
      <c r="R16" s="705"/>
      <c r="S16" s="706"/>
      <c r="T16" s="705"/>
      <c r="U16" s="706"/>
      <c r="V16" s="705"/>
      <c r="W16" s="706"/>
      <c r="X16" s="1354"/>
      <c r="Y16" s="3679"/>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719"/>
      <c r="Q17" s="1351" t="str">
        <f>B17</f>
        <v>交通便捷度</v>
      </c>
      <c r="R17" s="705" t="s">
        <v>18</v>
      </c>
      <c r="S17" s="706">
        <f>F17</f>
        <v>100</v>
      </c>
      <c r="T17" s="705" t="s">
        <v>18</v>
      </c>
      <c r="U17" s="706">
        <f>H17</f>
        <v>100</v>
      </c>
      <c r="V17" s="705" t="s">
        <v>18</v>
      </c>
      <c r="W17" s="706">
        <f>J17</f>
        <v>100</v>
      </c>
      <c r="X17" s="1354"/>
      <c r="Y17" s="3679"/>
      <c r="Z17" s="1355" t="str">
        <f>Q17</f>
        <v>交通便捷度</v>
      </c>
      <c r="AA17" s="1352">
        <f t="shared" si="3"/>
        <v>1</v>
      </c>
      <c r="AB17" s="1352">
        <f t="shared" si="4"/>
        <v>1</v>
      </c>
      <c r="AC17" s="1352">
        <f t="shared" si="5"/>
        <v>1</v>
      </c>
    </row>
    <row r="18" spans="1:29" ht="15">
      <c r="A18" s="379"/>
      <c r="B18" s="407"/>
      <c r="C18" s="3472" t="s">
        <v>3960</v>
      </c>
      <c r="D18" s="401"/>
      <c r="E18" s="3473" t="s">
        <v>3960</v>
      </c>
      <c r="F18" s="401"/>
      <c r="G18" s="3474" t="s">
        <v>3960</v>
      </c>
      <c r="H18" s="399"/>
      <c r="I18" s="3474" t="s">
        <v>3960</v>
      </c>
      <c r="J18" s="399"/>
      <c r="K18" s="1897"/>
      <c r="L18" s="2718"/>
      <c r="M18" s="2712"/>
      <c r="N18" s="2712"/>
      <c r="O18" s="2712"/>
      <c r="P18" s="3719"/>
      <c r="Q18" s="1351"/>
      <c r="R18" s="705"/>
      <c r="S18" s="706"/>
      <c r="T18" s="705"/>
      <c r="U18" s="706"/>
      <c r="V18" s="705"/>
      <c r="W18" s="706"/>
      <c r="X18" s="1354"/>
      <c r="Y18" s="3679"/>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719"/>
      <c r="Q19" s="1351" t="str">
        <f>B19</f>
        <v>公共配套设施</v>
      </c>
      <c r="R19" s="705" t="s">
        <v>18</v>
      </c>
      <c r="S19" s="706">
        <f>F19</f>
        <v>100</v>
      </c>
      <c r="T19" s="705" t="s">
        <v>18</v>
      </c>
      <c r="U19" s="706">
        <f>H19</f>
        <v>100</v>
      </c>
      <c r="V19" s="705" t="s">
        <v>18</v>
      </c>
      <c r="W19" s="706">
        <f>J19</f>
        <v>100</v>
      </c>
      <c r="X19" s="1354"/>
      <c r="Y19" s="3679"/>
      <c r="Z19" s="1355" t="str">
        <f>Q19</f>
        <v>公共配套设施</v>
      </c>
      <c r="AA19" s="1352">
        <f t="shared" si="3"/>
        <v>1</v>
      </c>
      <c r="AB19" s="1352">
        <f t="shared" si="4"/>
        <v>1</v>
      </c>
      <c r="AC19" s="1352">
        <f t="shared" si="5"/>
        <v>1</v>
      </c>
    </row>
    <row r="20" spans="1:29" ht="15">
      <c r="A20" s="379"/>
      <c r="B20" s="407"/>
      <c r="C20" s="3456" t="s">
        <v>3939</v>
      </c>
      <c r="D20" s="399"/>
      <c r="E20" s="3458" t="s">
        <v>3939</v>
      </c>
      <c r="F20" s="399"/>
      <c r="G20" s="3457" t="s">
        <v>3939</v>
      </c>
      <c r="H20" s="399"/>
      <c r="I20" s="3457" t="s">
        <v>3939</v>
      </c>
      <c r="J20" s="399"/>
      <c r="K20" s="1897"/>
      <c r="L20" s="2718"/>
      <c r="M20" s="2712"/>
      <c r="N20" s="2712"/>
      <c r="O20" s="2712"/>
      <c r="P20" s="3719"/>
      <c r="Q20" s="1351"/>
      <c r="R20" s="705"/>
      <c r="S20" s="706"/>
      <c r="T20" s="705"/>
      <c r="U20" s="706"/>
      <c r="V20" s="705"/>
      <c r="W20" s="706"/>
      <c r="X20" s="1354"/>
      <c r="Y20" s="3679"/>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8"/>
      <c r="M21" s="2712"/>
      <c r="N21" s="2712"/>
      <c r="O21" s="2712"/>
      <c r="P21" s="371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3472" t="s">
        <v>3940</v>
      </c>
      <c r="D22" s="399"/>
      <c r="E22" s="3456" t="s">
        <v>3940</v>
      </c>
      <c r="F22" s="399"/>
      <c r="G22" s="3462" t="s">
        <v>3941</v>
      </c>
      <c r="H22" s="399"/>
      <c r="I22" s="3456" t="s">
        <v>3941</v>
      </c>
      <c r="J22" s="399"/>
      <c r="K22" s="1903"/>
      <c r="L22" s="2718"/>
      <c r="M22" s="2712"/>
      <c r="N22" s="2712"/>
      <c r="O22" s="2712"/>
      <c r="P22" s="3719"/>
      <c r="Q22" s="1351"/>
      <c r="R22" s="705"/>
      <c r="S22" s="706"/>
      <c r="T22" s="705"/>
      <c r="U22" s="706"/>
      <c r="V22" s="705"/>
      <c r="W22" s="706"/>
      <c r="X22" s="1354"/>
      <c r="Y22" s="3679"/>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102</v>
      </c>
      <c r="I23" s="403"/>
      <c r="J23" s="401">
        <f>SUMIF(84:84,I24,85:85)-SUMIF(84:84,C24,85:85)+100</f>
        <v>102</v>
      </c>
      <c r="K23" s="396">
        <v>2</v>
      </c>
      <c r="L23" s="2718"/>
      <c r="M23" s="2712"/>
      <c r="N23" s="2712"/>
      <c r="O23" s="2712"/>
      <c r="P23" s="3719"/>
      <c r="Q23" s="1351" t="str">
        <f>B23</f>
        <v>自然及人文环境</v>
      </c>
      <c r="R23" s="705" t="s">
        <v>18</v>
      </c>
      <c r="S23" s="706">
        <f>F23</f>
        <v>100</v>
      </c>
      <c r="T23" s="705" t="s">
        <v>18</v>
      </c>
      <c r="U23" s="706">
        <f>H23</f>
        <v>102</v>
      </c>
      <c r="V23" s="705" t="s">
        <v>18</v>
      </c>
      <c r="W23" s="706">
        <f>J23</f>
        <v>102</v>
      </c>
      <c r="X23" s="1354"/>
      <c r="Y23" s="3679"/>
      <c r="Z23" s="1355" t="str">
        <f>Q23</f>
        <v>自然及人文环境</v>
      </c>
      <c r="AA23" s="1352">
        <f>D23/F23</f>
        <v>1</v>
      </c>
      <c r="AB23" s="1352">
        <f>D23/H23</f>
        <v>0.98039215686274506</v>
      </c>
      <c r="AC23" s="1352">
        <f>D23/J23</f>
        <v>0.98039215686274506</v>
      </c>
    </row>
    <row r="24" spans="1:29" ht="15">
      <c r="A24" s="379"/>
      <c r="B24" s="407"/>
      <c r="C24" s="3456" t="s">
        <v>3939</v>
      </c>
      <c r="D24" s="399"/>
      <c r="E24" s="3458" t="s">
        <v>3939</v>
      </c>
      <c r="F24" s="399"/>
      <c r="G24" s="3457" t="s">
        <v>3942</v>
      </c>
      <c r="H24" s="399"/>
      <c r="I24" s="3457" t="s">
        <v>3943</v>
      </c>
      <c r="J24" s="399"/>
      <c r="K24" s="1897"/>
      <c r="L24" s="2718"/>
      <c r="M24" s="2712"/>
      <c r="N24" s="2712"/>
      <c r="O24" s="2712"/>
      <c r="P24" s="3719"/>
      <c r="Q24" s="1351"/>
      <c r="R24" s="705"/>
      <c r="S24" s="706"/>
      <c r="T24" s="705"/>
      <c r="U24" s="706"/>
      <c r="V24" s="705"/>
      <c r="W24" s="706"/>
      <c r="X24" s="1354"/>
      <c r="Y24" s="3679"/>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1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19"/>
      <c r="Q26" s="1351" t="str">
        <f t="shared" si="11"/>
        <v>朝向</v>
      </c>
      <c r="R26" s="705" t="s">
        <v>18</v>
      </c>
      <c r="S26" s="706">
        <f t="shared" si="12"/>
        <v>100</v>
      </c>
      <c r="T26" s="705" t="s">
        <v>18</v>
      </c>
      <c r="U26" s="706">
        <f t="shared" si="13"/>
        <v>100</v>
      </c>
      <c r="V26" s="705" t="s">
        <v>18</v>
      </c>
      <c r="W26" s="706">
        <f t="shared" si="14"/>
        <v>100</v>
      </c>
      <c r="X26" s="1354"/>
      <c r="Y26" s="367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19"/>
      <c r="Q27" s="1342">
        <f t="shared" si="11"/>
        <v>111</v>
      </c>
      <c r="R27" s="701" t="s">
        <v>18</v>
      </c>
      <c r="S27" s="702">
        <f t="shared" si="12"/>
        <v>100</v>
      </c>
      <c r="T27" s="701" t="s">
        <v>18</v>
      </c>
      <c r="U27" s="702">
        <f t="shared" si="13"/>
        <v>100</v>
      </c>
      <c r="V27" s="701" t="s">
        <v>18</v>
      </c>
      <c r="W27" s="702">
        <f t="shared" si="14"/>
        <v>100</v>
      </c>
      <c r="X27" s="703"/>
      <c r="Y27" s="367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19"/>
      <c r="Q28" s="1351">
        <f t="shared" si="11"/>
        <v>111</v>
      </c>
      <c r="R28" s="705" t="s">
        <v>18</v>
      </c>
      <c r="S28" s="706">
        <f t="shared" si="12"/>
        <v>100</v>
      </c>
      <c r="T28" s="705" t="s">
        <v>18</v>
      </c>
      <c r="U28" s="706">
        <f t="shared" si="13"/>
        <v>100</v>
      </c>
      <c r="V28" s="705" t="s">
        <v>18</v>
      </c>
      <c r="W28" s="706">
        <f t="shared" si="14"/>
        <v>100</v>
      </c>
      <c r="X28" s="1354"/>
      <c r="Y28" s="367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19"/>
      <c r="Q29" s="1351">
        <f t="shared" si="11"/>
        <v>111</v>
      </c>
      <c r="R29" s="705" t="s">
        <v>18</v>
      </c>
      <c r="S29" s="706">
        <f t="shared" si="12"/>
        <v>100</v>
      </c>
      <c r="T29" s="705" t="s">
        <v>18</v>
      </c>
      <c r="U29" s="706">
        <f t="shared" si="13"/>
        <v>100</v>
      </c>
      <c r="V29" s="705" t="s">
        <v>18</v>
      </c>
      <c r="W29" s="706">
        <f t="shared" si="14"/>
        <v>100</v>
      </c>
      <c r="X29" s="1354"/>
      <c r="Y29" s="367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19"/>
      <c r="Q30" s="1351">
        <f t="shared" si="11"/>
        <v>111</v>
      </c>
      <c r="R30" s="705" t="s">
        <v>18</v>
      </c>
      <c r="S30" s="706">
        <f t="shared" si="12"/>
        <v>100</v>
      </c>
      <c r="T30" s="705" t="s">
        <v>18</v>
      </c>
      <c r="U30" s="706">
        <f t="shared" si="13"/>
        <v>100</v>
      </c>
      <c r="V30" s="705" t="s">
        <v>18</v>
      </c>
      <c r="W30" s="706">
        <f t="shared" si="14"/>
        <v>100</v>
      </c>
      <c r="X30" s="1354"/>
      <c r="Y30" s="367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19"/>
      <c r="Q31" s="1351">
        <f t="shared" si="11"/>
        <v>111</v>
      </c>
      <c r="R31" s="705" t="s">
        <v>18</v>
      </c>
      <c r="S31" s="706">
        <f t="shared" si="12"/>
        <v>100</v>
      </c>
      <c r="T31" s="705" t="s">
        <v>18</v>
      </c>
      <c r="U31" s="706">
        <f t="shared" si="13"/>
        <v>100</v>
      </c>
      <c r="V31" s="705" t="s">
        <v>18</v>
      </c>
      <c r="W31" s="706">
        <f t="shared" si="14"/>
        <v>100</v>
      </c>
      <c r="X31" s="1354"/>
      <c r="Y31" s="3679"/>
      <c r="Z31" s="1355">
        <f t="shared" si="18"/>
        <v>111</v>
      </c>
      <c r="AA31" s="1352">
        <f t="shared" si="15"/>
        <v>1</v>
      </c>
      <c r="AB31" s="1352">
        <f t="shared" si="16"/>
        <v>1</v>
      </c>
      <c r="AC31" s="1352">
        <f t="shared" si="17"/>
        <v>1</v>
      </c>
    </row>
    <row r="32" spans="1:29" ht="15">
      <c r="A32" s="391" t="s">
        <v>1694</v>
      </c>
      <c r="B32" s="63" t="s">
        <v>1695</v>
      </c>
      <c r="C32" s="3476" t="s">
        <v>3945</v>
      </c>
      <c r="D32" s="418">
        <v>100</v>
      </c>
      <c r="E32" s="3475" t="s">
        <v>3945</v>
      </c>
      <c r="F32" s="412">
        <f>SUMIF(100:100,E32,101:101)-SUMIF(100:100,C32,101:101)+100</f>
        <v>100</v>
      </c>
      <c r="G32" s="3476" t="s">
        <v>3944</v>
      </c>
      <c r="H32" s="418">
        <f>SUMIF(100:100,G32,101:101)-SUMIF(100:100,C32,101:101)+100</f>
        <v>98</v>
      </c>
      <c r="I32" s="3475" t="s">
        <v>3944</v>
      </c>
      <c r="J32" s="386">
        <f>SUMIF(100:100,I32,101:101)-SUMIF(100:100,C32,101:101)+100</f>
        <v>98</v>
      </c>
      <c r="K32" s="377">
        <v>2</v>
      </c>
      <c r="L32" s="2718"/>
      <c r="M32" s="2712"/>
      <c r="N32" s="2712"/>
      <c r="O32" s="2712"/>
      <c r="P32" s="3714" t="s">
        <v>1696</v>
      </c>
      <c r="Q32" s="1351" t="str">
        <f t="shared" si="11"/>
        <v>建筑类型</v>
      </c>
      <c r="R32" s="705" t="s">
        <v>18</v>
      </c>
      <c r="S32" s="706">
        <f t="shared" si="12"/>
        <v>100</v>
      </c>
      <c r="T32" s="705" t="s">
        <v>18</v>
      </c>
      <c r="U32" s="706">
        <f t="shared" si="13"/>
        <v>98</v>
      </c>
      <c r="V32" s="705" t="s">
        <v>18</v>
      </c>
      <c r="W32" s="706">
        <f t="shared" si="14"/>
        <v>98</v>
      </c>
      <c r="X32" s="1354"/>
      <c r="Y32" s="3681" t="s">
        <v>1696</v>
      </c>
      <c r="Z32" s="1355" t="str">
        <f t="shared" si="18"/>
        <v>建筑类型</v>
      </c>
      <c r="AA32" s="1352">
        <f t="shared" si="15"/>
        <v>1</v>
      </c>
      <c r="AB32" s="1352">
        <f t="shared" si="16"/>
        <v>1.0204081632653061</v>
      </c>
      <c r="AC32" s="1352">
        <f t="shared" si="17"/>
        <v>1.0204081632653061</v>
      </c>
    </row>
    <row r="33" spans="1:29" s="422" customFormat="1" ht="15">
      <c r="A33" s="419"/>
      <c r="B33" s="375" t="s">
        <v>1697</v>
      </c>
      <c r="C33" s="420">
        <f>'数据-汇总表'!F31</f>
        <v>34610.639999999999</v>
      </c>
      <c r="D33" s="127">
        <v>100</v>
      </c>
      <c r="E33" s="381">
        <v>225648</v>
      </c>
      <c r="F33" s="376">
        <f>LOOKUP(E33,103:103,104:104)-LOOKUP(C33,103:103,104:104)+100</f>
        <v>106</v>
      </c>
      <c r="G33" s="380">
        <v>106896</v>
      </c>
      <c r="H33" s="127">
        <f>LOOKUP(G33,103:103,104:104)-LOOKUP(C33,103:103,104:104)+100</f>
        <v>103</v>
      </c>
      <c r="I33" s="381">
        <v>173209</v>
      </c>
      <c r="J33" s="127">
        <f>LOOKUP(I33,103:103,104:104)-LOOKUP(C33,103:103,104:104)+100</f>
        <v>103</v>
      </c>
      <c r="K33" s="1892"/>
      <c r="L33" s="2717"/>
      <c r="M33" s="2719"/>
      <c r="N33" s="2719"/>
      <c r="O33" s="2719"/>
      <c r="P33" s="3715"/>
      <c r="Q33" s="707" t="str">
        <f t="shared" si="11"/>
        <v>项目建筑规模</v>
      </c>
      <c r="R33" s="708" t="s">
        <v>18</v>
      </c>
      <c r="S33" s="709">
        <f t="shared" si="12"/>
        <v>106</v>
      </c>
      <c r="T33" s="708" t="s">
        <v>18</v>
      </c>
      <c r="U33" s="709">
        <f t="shared" si="13"/>
        <v>103</v>
      </c>
      <c r="V33" s="708" t="s">
        <v>18</v>
      </c>
      <c r="W33" s="709">
        <f t="shared" si="14"/>
        <v>103</v>
      </c>
      <c r="X33" s="710"/>
      <c r="Y33" s="3681"/>
      <c r="Z33" s="711" t="str">
        <f t="shared" si="18"/>
        <v>项目建筑规模</v>
      </c>
      <c r="AA33" s="1352">
        <f t="shared" si="15"/>
        <v>0.94339622641509435</v>
      </c>
      <c r="AB33" s="1352">
        <f t="shared" si="16"/>
        <v>0.970873786407767</v>
      </c>
      <c r="AC33" s="1352">
        <f t="shared" si="17"/>
        <v>0.970873786407767</v>
      </c>
    </row>
    <row r="34" spans="1:29" ht="15">
      <c r="A34" s="423"/>
      <c r="B34" s="375" t="s">
        <v>1698</v>
      </c>
      <c r="C34" s="3478" t="s">
        <v>3946</v>
      </c>
      <c r="D34" s="386">
        <v>100</v>
      </c>
      <c r="E34" s="3479" t="s">
        <v>3946</v>
      </c>
      <c r="F34" s="412">
        <f>SUMIF(105:105,E34,106:106)-SUMIF(105:105,C34,106:106)+100</f>
        <v>100</v>
      </c>
      <c r="G34" s="3478" t="s">
        <v>3946</v>
      </c>
      <c r="H34" s="386">
        <f>SUMIF(105:105,G34,106:106)-SUMIF(105:105,C34,106:106)+100</f>
        <v>100</v>
      </c>
      <c r="I34" s="3479" t="s">
        <v>3946</v>
      </c>
      <c r="J34" s="386">
        <f>SUMIF(105:105,I34,106:106)-SUMIF(105:105,C34,106:106)+100</f>
        <v>100</v>
      </c>
      <c r="K34" s="377"/>
      <c r="L34" s="2718"/>
      <c r="M34" s="2712"/>
      <c r="N34" s="2712"/>
      <c r="O34" s="2712"/>
      <c r="P34" s="3715"/>
      <c r="Q34" s="1351" t="str">
        <f t="shared" si="11"/>
        <v>建筑结构</v>
      </c>
      <c r="R34" s="705" t="s">
        <v>18</v>
      </c>
      <c r="S34" s="706">
        <f t="shared" si="12"/>
        <v>100</v>
      </c>
      <c r="T34" s="705" t="s">
        <v>18</v>
      </c>
      <c r="U34" s="706">
        <f t="shared" si="13"/>
        <v>100</v>
      </c>
      <c r="V34" s="705" t="s">
        <v>18</v>
      </c>
      <c r="W34" s="706">
        <f t="shared" si="14"/>
        <v>100</v>
      </c>
      <c r="X34" s="1354"/>
      <c r="Y34" s="3681"/>
      <c r="Z34" s="1355" t="str">
        <f t="shared" si="18"/>
        <v>建筑结构</v>
      </c>
      <c r="AA34" s="1352">
        <f t="shared" si="15"/>
        <v>1</v>
      </c>
      <c r="AB34" s="1352">
        <f t="shared" si="16"/>
        <v>1</v>
      </c>
      <c r="AC34" s="1352">
        <f t="shared" si="17"/>
        <v>1</v>
      </c>
    </row>
    <row r="35" spans="1:29" ht="15">
      <c r="A35" s="423"/>
      <c r="B35" s="375" t="s">
        <v>1699</v>
      </c>
      <c r="C35" s="3480" t="s">
        <v>3943</v>
      </c>
      <c r="D35" s="386">
        <v>100</v>
      </c>
      <c r="E35" s="3481" t="s">
        <v>3943</v>
      </c>
      <c r="F35" s="412">
        <f>SUMIF(107:107,E35,108:108)-SUMIF(107:107,C35,108:108)+100</f>
        <v>100</v>
      </c>
      <c r="G35" s="3480" t="s">
        <v>3943</v>
      </c>
      <c r="H35" s="386">
        <f>SUMIF(107:107,G35,108:108)-SUMIF(107:107,C35,108:108)+100</f>
        <v>100</v>
      </c>
      <c r="I35" s="3481" t="s">
        <v>3943</v>
      </c>
      <c r="J35" s="386">
        <f>SUMIF(107:107,I35,108:108)-SUMIF(107:107,C35,108:108)+100</f>
        <v>100</v>
      </c>
      <c r="K35" s="377"/>
      <c r="L35" s="2718"/>
      <c r="M35" s="2712"/>
      <c r="N35" s="2712"/>
      <c r="O35" s="2712"/>
      <c r="P35" s="3715"/>
      <c r="Q35" s="1351" t="str">
        <f t="shared" si="11"/>
        <v>建筑品质</v>
      </c>
      <c r="R35" s="705" t="s">
        <v>18</v>
      </c>
      <c r="S35" s="706">
        <f t="shared" si="12"/>
        <v>100</v>
      </c>
      <c r="T35" s="705" t="s">
        <v>18</v>
      </c>
      <c r="U35" s="706">
        <f t="shared" si="13"/>
        <v>100</v>
      </c>
      <c r="V35" s="705" t="s">
        <v>18</v>
      </c>
      <c r="W35" s="706">
        <f t="shared" si="14"/>
        <v>100</v>
      </c>
      <c r="X35" s="1354"/>
      <c r="Y35" s="3681"/>
      <c r="Z35" s="1355" t="str">
        <f t="shared" si="18"/>
        <v>建筑品质</v>
      </c>
      <c r="AA35" s="1352">
        <f t="shared" si="15"/>
        <v>1</v>
      </c>
      <c r="AB35" s="1352">
        <f t="shared" si="16"/>
        <v>1</v>
      </c>
      <c r="AC35" s="1352">
        <f t="shared" si="17"/>
        <v>1</v>
      </c>
    </row>
    <row r="36" spans="1:29" ht="15">
      <c r="A36" s="423"/>
      <c r="B36" s="375" t="s">
        <v>1700</v>
      </c>
      <c r="C36" s="3480" t="s">
        <v>3947</v>
      </c>
      <c r="D36" s="386">
        <v>100</v>
      </c>
      <c r="E36" s="3481" t="s">
        <v>3947</v>
      </c>
      <c r="F36" s="412">
        <f>SUMIF(109:109,E36,110:110)-SUMIF(109:109,C36,110:110)+100</f>
        <v>100</v>
      </c>
      <c r="G36" s="3480" t="s">
        <v>3947</v>
      </c>
      <c r="H36" s="386">
        <f>SUMIF(109:109,G36,110:110)-SUMIF(109:109,C36,110:110)+100</f>
        <v>100</v>
      </c>
      <c r="I36" s="3481" t="s">
        <v>3947</v>
      </c>
      <c r="J36" s="386">
        <f>SUMIF(109:109,I36,110:110)-SUMIF(109:109,C36,110:110)+100</f>
        <v>100</v>
      </c>
      <c r="K36" s="377"/>
      <c r="L36" s="2718"/>
      <c r="M36" s="2712"/>
      <c r="N36" s="2712"/>
      <c r="O36" s="2712"/>
      <c r="P36" s="3715"/>
      <c r="Q36" s="1351" t="str">
        <f t="shared" si="11"/>
        <v>公共部分装修</v>
      </c>
      <c r="R36" s="705" t="s">
        <v>18</v>
      </c>
      <c r="S36" s="706">
        <f t="shared" si="12"/>
        <v>100</v>
      </c>
      <c r="T36" s="705" t="s">
        <v>18</v>
      </c>
      <c r="U36" s="706">
        <f t="shared" si="13"/>
        <v>100</v>
      </c>
      <c r="V36" s="705" t="s">
        <v>18</v>
      </c>
      <c r="W36" s="706">
        <f t="shared" si="14"/>
        <v>100</v>
      </c>
      <c r="X36" s="1354"/>
      <c r="Y36" s="3681"/>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15"/>
      <c r="Q37" s="1342" t="str">
        <f t="shared" si="11"/>
        <v>成新度</v>
      </c>
      <c r="R37" s="701" t="s">
        <v>18</v>
      </c>
      <c r="S37" s="702">
        <f t="shared" si="12"/>
        <v>100</v>
      </c>
      <c r="T37" s="701" t="s">
        <v>18</v>
      </c>
      <c r="U37" s="702">
        <f t="shared" si="13"/>
        <v>100</v>
      </c>
      <c r="V37" s="701" t="s">
        <v>18</v>
      </c>
      <c r="W37" s="702">
        <f t="shared" si="14"/>
        <v>100</v>
      </c>
      <c r="X37" s="703"/>
      <c r="Y37" s="3681"/>
      <c r="Z37" s="52" t="str">
        <f t="shared" si="18"/>
        <v>成新度</v>
      </c>
      <c r="AA37" s="704">
        <f t="shared" si="15"/>
        <v>1</v>
      </c>
      <c r="AB37" s="704">
        <f t="shared" si="16"/>
        <v>1</v>
      </c>
      <c r="AC37" s="704">
        <f t="shared" si="17"/>
        <v>1</v>
      </c>
    </row>
    <row r="38" spans="1:29" ht="15">
      <c r="A38" s="423"/>
      <c r="B38" s="375" t="s">
        <v>1702</v>
      </c>
      <c r="C38" s="3480" t="s">
        <v>3948</v>
      </c>
      <c r="D38" s="386">
        <v>100</v>
      </c>
      <c r="E38" s="3481" t="s">
        <v>3948</v>
      </c>
      <c r="F38" s="412">
        <f>SUMIF(114:114,E38,115:115)-SUMIF(114:114,C38,115:115)+100</f>
        <v>100</v>
      </c>
      <c r="G38" s="3480" t="s">
        <v>3948</v>
      </c>
      <c r="H38" s="386">
        <f>SUMIF(114:114,G38,115:115)-SUMIF(114:114,C38,115:115)+100</f>
        <v>100</v>
      </c>
      <c r="I38" s="3481" t="s">
        <v>3948</v>
      </c>
      <c r="J38" s="386">
        <f>SUMIF(114:114,I38,115:115)-SUMIF(114:114,C38,115:115)+100</f>
        <v>100</v>
      </c>
      <c r="K38" s="377"/>
      <c r="L38" s="2718"/>
      <c r="M38" s="2712"/>
      <c r="N38" s="2712"/>
      <c r="O38" s="2712"/>
      <c r="P38" s="3715" t="s">
        <v>1696</v>
      </c>
      <c r="Q38" s="1351" t="str">
        <f t="shared" si="11"/>
        <v>物业管理</v>
      </c>
      <c r="R38" s="705" t="s">
        <v>18</v>
      </c>
      <c r="S38" s="706">
        <f t="shared" si="12"/>
        <v>100</v>
      </c>
      <c r="T38" s="705" t="s">
        <v>18</v>
      </c>
      <c r="U38" s="706">
        <f t="shared" si="13"/>
        <v>100</v>
      </c>
      <c r="V38" s="705" t="s">
        <v>18</v>
      </c>
      <c r="W38" s="706">
        <f t="shared" si="14"/>
        <v>100</v>
      </c>
      <c r="X38" s="1354"/>
      <c r="Y38" s="3681" t="s">
        <v>1696</v>
      </c>
      <c r="Z38" s="1355" t="str">
        <f t="shared" si="18"/>
        <v>物业管理</v>
      </c>
      <c r="AA38" s="1352">
        <f t="shared" si="15"/>
        <v>1</v>
      </c>
      <c r="AB38" s="1352">
        <f t="shared" si="16"/>
        <v>1</v>
      </c>
      <c r="AC38" s="1352">
        <f t="shared" si="17"/>
        <v>1</v>
      </c>
    </row>
    <row r="39" spans="1:29" ht="15">
      <c r="A39" s="423"/>
      <c r="B39" s="375" t="s">
        <v>1703</v>
      </c>
      <c r="C39" s="3480" t="s">
        <v>3940</v>
      </c>
      <c r="D39" s="386">
        <v>100</v>
      </c>
      <c r="E39" s="3481" t="s">
        <v>3941</v>
      </c>
      <c r="F39" s="412">
        <f>SUMIF(116:116,E39,117:117)-SUMIF(116:116,C39,117:117)+100</f>
        <v>100</v>
      </c>
      <c r="G39" s="3480" t="s">
        <v>3941</v>
      </c>
      <c r="H39" s="386">
        <f>SUMIF(116:116,G39,117:117)-SUMIF(116:116,C39,117:117)+100</f>
        <v>100</v>
      </c>
      <c r="I39" s="3481" t="s">
        <v>3940</v>
      </c>
      <c r="J39" s="386">
        <f>SUMIF(116:116,I39,117:117)-SUMIF(116:116,C39,117:117)+100</f>
        <v>100</v>
      </c>
      <c r="K39" s="377"/>
      <c r="L39" s="2718"/>
      <c r="M39" s="2712"/>
      <c r="N39" s="2712"/>
      <c r="O39" s="2712"/>
      <c r="P39" s="3715"/>
      <c r="Q39" s="1351" t="str">
        <f t="shared" si="11"/>
        <v>市政基础设施</v>
      </c>
      <c r="R39" s="705" t="s">
        <v>18</v>
      </c>
      <c r="S39" s="706">
        <f t="shared" si="12"/>
        <v>100</v>
      </c>
      <c r="T39" s="705" t="s">
        <v>18</v>
      </c>
      <c r="U39" s="706">
        <f t="shared" si="13"/>
        <v>100</v>
      </c>
      <c r="V39" s="705" t="s">
        <v>18</v>
      </c>
      <c r="W39" s="706">
        <f t="shared" si="14"/>
        <v>100</v>
      </c>
      <c r="X39" s="1354"/>
      <c r="Y39" s="3681"/>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15"/>
      <c r="Q40" s="1351" t="str">
        <f t="shared" si="11"/>
        <v>房型</v>
      </c>
      <c r="R40" s="705" t="s">
        <v>18</v>
      </c>
      <c r="S40" s="706">
        <f t="shared" si="12"/>
        <v>100</v>
      </c>
      <c r="T40" s="705" t="s">
        <v>18</v>
      </c>
      <c r="U40" s="706">
        <f t="shared" si="13"/>
        <v>100</v>
      </c>
      <c r="V40" s="705" t="s">
        <v>18</v>
      </c>
      <c r="W40" s="706">
        <f t="shared" si="14"/>
        <v>100</v>
      </c>
      <c r="X40" s="1354"/>
      <c r="Y40" s="368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15"/>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2">
        <f t="shared" si="15"/>
        <v>1</v>
      </c>
      <c r="AB41" s="1352">
        <f t="shared" si="16"/>
        <v>1</v>
      </c>
      <c r="AC41" s="1352">
        <f t="shared" si="17"/>
        <v>1</v>
      </c>
    </row>
    <row r="42" spans="1:29" ht="15">
      <c r="A42" s="423"/>
      <c r="B42" s="375" t="s">
        <v>1706</v>
      </c>
      <c r="C42" s="3480" t="s">
        <v>3949</v>
      </c>
      <c r="D42" s="386">
        <v>100</v>
      </c>
      <c r="E42" s="3481" t="s">
        <v>3950</v>
      </c>
      <c r="F42" s="412">
        <f>SUMIF(122:122,E42,123:123)-SUMIF(122:122,C42,123:123)+100</f>
        <v>94</v>
      </c>
      <c r="G42" s="3480" t="s">
        <v>3947</v>
      </c>
      <c r="H42" s="386">
        <f>SUMIF(122:122,G42,123:123)-SUMIF(122:122,C42,123:123)+100</f>
        <v>100</v>
      </c>
      <c r="I42" s="3481" t="s">
        <v>3950</v>
      </c>
      <c r="J42" s="386">
        <f>SUMIF(122:122,I42,123:123)-SUMIF(122:122,C42,123:123)+100</f>
        <v>94</v>
      </c>
      <c r="K42" s="377">
        <v>2</v>
      </c>
      <c r="L42" s="2718"/>
      <c r="M42" s="2712"/>
      <c r="N42" s="2712"/>
      <c r="O42" s="2712"/>
      <c r="P42" s="3715"/>
      <c r="Q42" s="1351" t="str">
        <f t="shared" si="11"/>
        <v>内部装修</v>
      </c>
      <c r="R42" s="705" t="s">
        <v>18</v>
      </c>
      <c r="S42" s="706">
        <f t="shared" si="12"/>
        <v>94</v>
      </c>
      <c r="T42" s="705" t="s">
        <v>18</v>
      </c>
      <c r="U42" s="706">
        <f t="shared" si="13"/>
        <v>100</v>
      </c>
      <c r="V42" s="705" t="s">
        <v>18</v>
      </c>
      <c r="W42" s="706">
        <f t="shared" si="14"/>
        <v>94</v>
      </c>
      <c r="X42" s="1354"/>
      <c r="Y42" s="3681"/>
      <c r="Z42" s="1355" t="str">
        <f t="shared" si="18"/>
        <v>内部装修</v>
      </c>
      <c r="AA42" s="1352">
        <f t="shared" si="15"/>
        <v>1.0638297872340425</v>
      </c>
      <c r="AB42" s="1352">
        <f t="shared" si="16"/>
        <v>1</v>
      </c>
      <c r="AC42" s="1352">
        <f t="shared" si="17"/>
        <v>1.0638297872340425</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15"/>
      <c r="Q43" s="1351" t="str">
        <f t="shared" si="11"/>
        <v>内部装修维护情况</v>
      </c>
      <c r="R43" s="705" t="s">
        <v>18</v>
      </c>
      <c r="S43" s="706">
        <f t="shared" si="12"/>
        <v>100</v>
      </c>
      <c r="T43" s="705" t="s">
        <v>18</v>
      </c>
      <c r="U43" s="706">
        <f t="shared" si="13"/>
        <v>100</v>
      </c>
      <c r="V43" s="705" t="s">
        <v>18</v>
      </c>
      <c r="W43" s="706">
        <f t="shared" si="14"/>
        <v>100</v>
      </c>
      <c r="X43" s="1354"/>
      <c r="Y43" s="368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15"/>
      <c r="Q44" s="1342">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15"/>
      <c r="Q45" s="1351">
        <f t="shared" si="11"/>
        <v>111</v>
      </c>
      <c r="R45" s="705" t="s">
        <v>18</v>
      </c>
      <c r="S45" s="706">
        <f t="shared" si="12"/>
        <v>100</v>
      </c>
      <c r="T45" s="705" t="s">
        <v>18</v>
      </c>
      <c r="U45" s="706">
        <f t="shared" si="13"/>
        <v>100</v>
      </c>
      <c r="V45" s="705" t="s">
        <v>18</v>
      </c>
      <c r="W45" s="706">
        <f t="shared" si="14"/>
        <v>100</v>
      </c>
      <c r="X45" s="1354"/>
      <c r="Y45" s="3681"/>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16"/>
      <c r="Q46" s="1351">
        <f t="shared" si="11"/>
        <v>111</v>
      </c>
      <c r="R46" s="705" t="s">
        <v>17</v>
      </c>
      <c r="S46" s="706">
        <f t="shared" si="12"/>
        <v>100</v>
      </c>
      <c r="T46" s="705" t="s">
        <v>17</v>
      </c>
      <c r="U46" s="706">
        <f t="shared" si="13"/>
        <v>100</v>
      </c>
      <c r="V46" s="705" t="s">
        <v>17</v>
      </c>
      <c r="W46" s="706">
        <f t="shared" si="14"/>
        <v>100</v>
      </c>
      <c r="X46" s="1354"/>
      <c r="Y46" s="3717"/>
      <c r="Z46" s="1355">
        <f t="shared" si="18"/>
        <v>111</v>
      </c>
      <c r="AA46" s="1352">
        <f t="shared" si="15"/>
        <v>1</v>
      </c>
      <c r="AB46" s="1352">
        <f t="shared" si="16"/>
        <v>1</v>
      </c>
      <c r="AC46" s="1352">
        <f t="shared" si="17"/>
        <v>1</v>
      </c>
    </row>
    <row r="47" spans="1:29" ht="15">
      <c r="A47" s="430" t="s">
        <v>1708</v>
      </c>
      <c r="B47" s="431"/>
      <c r="C47" s="1154" t="s">
        <v>16</v>
      </c>
      <c r="D47" s="1155"/>
      <c r="E47" s="1156">
        <v>38240</v>
      </c>
      <c r="F47" s="1157"/>
      <c r="G47" s="1158">
        <v>35578</v>
      </c>
      <c r="H47" s="1159"/>
      <c r="I47" s="1156">
        <v>35278</v>
      </c>
      <c r="J47" s="1159"/>
      <c r="K47" s="1910"/>
      <c r="L47" s="2720"/>
      <c r="M47" s="2721"/>
      <c r="N47" s="2712"/>
      <c r="O47" s="2721"/>
      <c r="P47" s="3677" t="str">
        <f>A47</f>
        <v>成交单价（元/平方米）</v>
      </c>
      <c r="Q47" s="3677"/>
      <c r="R47" s="3713">
        <f>E47</f>
        <v>38240</v>
      </c>
      <c r="S47" s="3713"/>
      <c r="T47" s="3713">
        <f>G47</f>
        <v>35578</v>
      </c>
      <c r="U47" s="3713"/>
      <c r="V47" s="3713">
        <f>I47</f>
        <v>35278</v>
      </c>
      <c r="W47" s="3713"/>
      <c r="X47" s="690"/>
      <c r="Y47" s="712"/>
      <c r="Z47" s="690"/>
      <c r="AA47" s="690"/>
      <c r="AB47" s="690"/>
      <c r="AC47" s="690"/>
    </row>
    <row r="48" spans="1:29" ht="15.75" thickBot="1">
      <c r="A48" s="437" t="s">
        <v>1709</v>
      </c>
      <c r="B48" s="438"/>
      <c r="C48" s="1160">
        <f>R49</f>
        <v>36945</v>
      </c>
      <c r="D48" s="2313" t="s">
        <v>2138</v>
      </c>
      <c r="E48" s="1161">
        <f>R48</f>
        <v>38378</v>
      </c>
      <c r="F48" s="2314"/>
      <c r="G48" s="1160">
        <f>T48</f>
        <v>35261</v>
      </c>
      <c r="H48" s="2314"/>
      <c r="I48" s="1161">
        <f>V48</f>
        <v>37195</v>
      </c>
      <c r="J48" s="2314"/>
      <c r="K48" s="2315">
        <f>F48+H48+J48</f>
        <v>0</v>
      </c>
      <c r="L48" s="2720"/>
      <c r="M48" s="2721"/>
      <c r="N48" s="2721"/>
      <c r="O48" s="2721"/>
      <c r="P48" s="3677" t="str">
        <f>A48</f>
        <v>比较价值（元/平方米）</v>
      </c>
      <c r="Q48" s="3677"/>
      <c r="R48" s="3713">
        <f>IF(F1="售价",ROUND(PRODUCT(R47,AA7:AA46),0),ROUND(PRODUCT(R47,AA7:AA46),1))</f>
        <v>38378</v>
      </c>
      <c r="S48" s="3713"/>
      <c r="T48" s="3713">
        <f>IF(F1="售价",ROUND(PRODUCT(T47,AB7:AB46),0),ROUND(PRODUCT(T47,AB7:AB46),1))</f>
        <v>35261</v>
      </c>
      <c r="U48" s="3713"/>
      <c r="V48" s="3713">
        <f>IF(F1="售价",ROUND(PRODUCT(V47,AC7:AC46),0),ROUND(PRODUCT(V47,AC7:AC46),1))</f>
        <v>37195</v>
      </c>
      <c r="W48" s="3713"/>
      <c r="X48" s="690"/>
      <c r="Y48" s="690"/>
      <c r="Z48" s="690"/>
      <c r="AA48" s="690"/>
      <c r="AB48" s="690"/>
      <c r="AC48" s="690"/>
    </row>
    <row r="49" spans="1:29" ht="15.75" thickBot="1">
      <c r="A49" s="441" t="s">
        <v>1710</v>
      </c>
      <c r="B49" s="442"/>
      <c r="C49" s="1162">
        <f>R49</f>
        <v>36945</v>
      </c>
      <c r="D49" s="1163"/>
      <c r="E49" s="1163"/>
      <c r="F49" s="1163"/>
      <c r="G49" s="1163"/>
      <c r="H49" s="1163"/>
      <c r="I49" s="1163"/>
      <c r="J49" s="1163"/>
      <c r="K49" s="1911"/>
      <c r="L49" s="2720"/>
      <c r="M49" s="2721"/>
      <c r="N49" s="2721"/>
      <c r="O49" s="2721"/>
      <c r="P49" s="3671" t="str">
        <f>A49</f>
        <v>估价对象XX用房的比较价值（楼面单价，元/平方米）</v>
      </c>
      <c r="Q49" s="3672"/>
      <c r="R49" s="3712">
        <f>IF(F1="售价",ROUND(IF(D48="简单平均",AVERAGE(R48:V48),R48*F48+T48*H48+V48*J48),0),ROUND(IF(D48="简单平均",AVERAGE(R48:V48),R48*F48+T48*H48+V48*J48),1))</f>
        <v>36945</v>
      </c>
      <c r="S49" s="3712"/>
      <c r="T49" s="3712"/>
      <c r="U49" s="3712"/>
      <c r="V49" s="3712"/>
      <c r="W49" s="371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3.6087866108787114E-3</v>
      </c>
      <c r="F52" s="449" t="str">
        <f>IF(OR(E52&gt;=0.3,E52&lt;=-0.3),"超过30%","")</f>
        <v/>
      </c>
      <c r="G52" s="448">
        <f>IF(G47&lt;G48,G48/G47-1,G47/G48-1)</f>
        <v>8.9901023793992341E-3</v>
      </c>
      <c r="H52" s="449" t="str">
        <f>IF(OR(G52&gt;=0.3,G52&lt;=-0.3),"超过30%","")</f>
        <v/>
      </c>
      <c r="I52" s="448">
        <f>IF(I47&lt;I48,I48/I47-1,I47/I48-1)</f>
        <v>5.4339815182266493E-2</v>
      </c>
      <c r="J52" s="449" t="str">
        <f>IF(OR(I52&gt;=0.3,I52&lt;=-0.3),"超过30%","")</f>
        <v/>
      </c>
      <c r="K52" s="2726"/>
      <c r="L52" s="2722"/>
      <c r="M52" s="2721"/>
      <c r="N52" s="2721"/>
      <c r="O52" s="2721"/>
    </row>
    <row r="53" spans="1:29" ht="13.5" customHeight="1">
      <c r="A53" s="2721"/>
      <c r="B53" s="2721"/>
      <c r="C53" s="446" t="s">
        <v>1712</v>
      </c>
      <c r="D53" s="450"/>
      <c r="E53" s="448">
        <f>IF(E48&lt;G48,G48/E48-1,E48/G48-1)</f>
        <v>8.8397946740024436E-2</v>
      </c>
      <c r="F53" s="449" t="str">
        <f>IF(OR(E53&gt;=0.2,E53&lt;=-0.2),"超过20%","")</f>
        <v/>
      </c>
      <c r="G53" s="448">
        <f>IF(G48&lt;I48,I48/G48-1,G48/I48-1)</f>
        <v>5.4848132497660407E-2</v>
      </c>
      <c r="H53" s="449" t="str">
        <f>IF(OR(G53&gt;=0.2,G53&lt;=-0.2),"超过20%","")</f>
        <v/>
      </c>
      <c r="I53" s="448">
        <f>IF(I48&lt;E48,E48/I48-1,I48/E48-1)</f>
        <v>3.18053501814759E-2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7.4821518916184049E-2</v>
      </c>
      <c r="F54" s="449" t="str">
        <f>IF(OR(E54&gt;=0.3,E54&lt;=-0.3),"超过30%","")</f>
        <v/>
      </c>
      <c r="G54" s="448">
        <f>IF(G47&lt;I47,I47/G47-1,G47/I47-1)</f>
        <v>8.5038834401043317E-3</v>
      </c>
      <c r="H54" s="449" t="str">
        <f>IF(OR(G54&gt;=0.3,G54&lt;=-0.3),"超过30%","")</f>
        <v/>
      </c>
      <c r="I54" s="448">
        <f>IF(I47&lt;E47,E47/I47-1,I47/E47-1)</f>
        <v>8.3961675831963234E-2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7" t="s">
        <v>3945</v>
      </c>
      <c r="D100" s="3477" t="s">
        <v>3944</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103</v>
      </c>
      <c r="E104" s="485">
        <v>106</v>
      </c>
      <c r="F104" s="485">
        <v>109</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4" t="s">
        <v>3947</v>
      </c>
      <c r="D122" s="3464" t="s">
        <v>3951</v>
      </c>
      <c r="E122" s="3464" t="s">
        <v>3952</v>
      </c>
      <c r="F122" s="3482" t="s">
        <v>3950</v>
      </c>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3925</v>
      </c>
      <c r="D1" s="1361" t="s">
        <v>3932</v>
      </c>
      <c r="E1" s="1362" t="s">
        <v>678</v>
      </c>
      <c r="F1" s="1062">
        <f ca="1">J53</f>
        <v>44.309999999999995</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2116</v>
      </c>
      <c r="C2" s="1386" t="s">
        <v>805</v>
      </c>
      <c r="D2" s="1386"/>
      <c r="E2" s="1387"/>
      <c r="F2" s="1388"/>
      <c r="G2" s="2702"/>
      <c r="H2" s="2691"/>
      <c r="I2" s="2691"/>
      <c r="J2" s="2691"/>
      <c r="K2" s="2692"/>
      <c r="L2" s="2691"/>
      <c r="M2" s="2691"/>
    </row>
    <row r="3" spans="1:37" ht="18" customHeight="1" thickBot="1">
      <c r="A3" s="1389" t="s">
        <v>806</v>
      </c>
      <c r="B3" s="1390">
        <f ca="1">IF(ISERROR(B2*10000/F43),0,ROUND(B2*10000/F43,0))</f>
        <v>2438</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171</v>
      </c>
      <c r="D5" s="1363" t="s">
        <v>693</v>
      </c>
      <c r="E5" s="1071"/>
      <c r="F5" s="1072"/>
      <c r="G5" s="1383"/>
      <c r="H5" s="299">
        <v>1</v>
      </c>
      <c r="I5" s="300" t="s">
        <v>692</v>
      </c>
      <c r="J5" s="1070">
        <f ca="1">J6+J10+J12</f>
        <v>0</v>
      </c>
      <c r="K5" s="1363" t="s">
        <v>693</v>
      </c>
      <c r="L5" s="1071"/>
      <c r="M5" s="1072"/>
    </row>
    <row r="6" spans="1:37" ht="18" customHeight="1">
      <c r="A6" s="1069" t="s">
        <v>398</v>
      </c>
      <c r="B6" s="3722" t="s">
        <v>694</v>
      </c>
      <c r="C6" s="1074">
        <f ca="1">ROUND(F6*F8*F7*(1-F9)/10000,0)</f>
        <v>171</v>
      </c>
      <c r="D6" s="155" t="s">
        <v>2109</v>
      </c>
      <c r="E6" s="302" t="s">
        <v>696</v>
      </c>
      <c r="F6" s="303">
        <f ca="1">INDIRECT("'数据-取费表'!u"&amp;$G$1)</f>
        <v>0.6</v>
      </c>
      <c r="G6" s="1383"/>
      <c r="H6" s="1069" t="s">
        <v>398</v>
      </c>
      <c r="I6" s="3722" t="s">
        <v>694</v>
      </c>
      <c r="J6" s="301">
        <f ca="1">ROUND(M6*M8*M7*(1-M9)/10000,0)</f>
        <v>0</v>
      </c>
      <c r="K6" s="155" t="s">
        <v>2108</v>
      </c>
      <c r="L6" s="302" t="s">
        <v>696</v>
      </c>
      <c r="M6" s="303">
        <f ca="1">INDIRECT("'数据-取费表'!z"&amp;$G$1)</f>
        <v>0</v>
      </c>
    </row>
    <row r="7" spans="1:37" ht="18" customHeight="1">
      <c r="A7" s="1073"/>
      <c r="B7" s="3723"/>
      <c r="C7" s="1075"/>
      <c r="D7" s="307"/>
      <c r="E7" s="1076" t="s">
        <v>697</v>
      </c>
      <c r="F7" s="303">
        <f ca="1">IF(INDIRECT("'数据-取费表'!ah"&amp;$G$1)="",INDIRECT("'数据-取费表'!k"&amp;$G$1),INDIRECT("'数据-取费表'!ah"&amp;$G$1))</f>
        <v>8677.7000000000007</v>
      </c>
      <c r="G7" s="1383"/>
      <c r="H7" s="304"/>
      <c r="I7" s="3723"/>
      <c r="J7" s="306"/>
      <c r="K7" s="307"/>
      <c r="L7" s="302" t="s">
        <v>697</v>
      </c>
      <c r="M7" s="303">
        <f ca="1">F7</f>
        <v>8677.7000000000007</v>
      </c>
    </row>
    <row r="8" spans="1:37" ht="18" customHeight="1">
      <c r="A8" s="304"/>
      <c r="B8" s="3723"/>
      <c r="C8" s="306"/>
      <c r="D8" s="307"/>
      <c r="E8" s="302" t="s">
        <v>698</v>
      </c>
      <c r="F8" s="303">
        <f ca="1">INDIRECT("'数据-取费表'!ai"&amp;$G$1)</f>
        <v>365</v>
      </c>
      <c r="G8" s="1383"/>
      <c r="H8" s="304"/>
      <c r="I8" s="3723"/>
      <c r="J8" s="306"/>
      <c r="K8" s="307"/>
      <c r="L8" s="302" t="s">
        <v>698</v>
      </c>
      <c r="M8" s="303">
        <f ca="1">INDIRECT("'数据-取费表'!ai"&amp;$G$1)</f>
        <v>365</v>
      </c>
    </row>
    <row r="9" spans="1:37" ht="18" customHeight="1">
      <c r="A9" s="304"/>
      <c r="B9" s="3724"/>
      <c r="C9" s="306"/>
      <c r="D9" s="307"/>
      <c r="E9" s="302" t="s">
        <v>699</v>
      </c>
      <c r="F9" s="312">
        <f ca="1">INDIRECT("'数据-取费表'!w"&amp;$G$1)</f>
        <v>0.1</v>
      </c>
      <c r="G9" s="1383"/>
      <c r="H9" s="304"/>
      <c r="I9" s="372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3929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4762</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3466</v>
      </c>
      <c r="D14" s="1344" t="s">
        <v>708</v>
      </c>
      <c r="E14" s="1341"/>
      <c r="F14" s="319"/>
      <c r="G14" s="1383"/>
      <c r="H14" s="982" t="s">
        <v>398</v>
      </c>
      <c r="I14" s="302" t="s">
        <v>709</v>
      </c>
      <c r="J14" s="21">
        <f ca="1">C29</f>
        <v>4762</v>
      </c>
      <c r="K14" s="12"/>
      <c r="L14" s="807"/>
      <c r="M14" s="808"/>
    </row>
    <row r="15" spans="1:37" s="1396" customFormat="1" ht="18" customHeight="1" thickBot="1">
      <c r="A15" s="982" t="s">
        <v>399</v>
      </c>
      <c r="B15" s="302" t="s">
        <v>710</v>
      </c>
      <c r="C15" s="21">
        <f ca="1">ROUND(C14*F15,0)</f>
        <v>104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48</v>
      </c>
      <c r="K16" s="1087" t="s">
        <v>715</v>
      </c>
      <c r="L16" s="1088"/>
      <c r="M16" s="1072"/>
    </row>
    <row r="17" spans="1:37" s="1396" customFormat="1" ht="18" customHeight="1">
      <c r="A17" s="982" t="s">
        <v>681</v>
      </c>
      <c r="B17" s="302" t="s">
        <v>716</v>
      </c>
      <c r="C17" s="21">
        <f ca="1">ROUND(F17*(F43+INDIRECT("'数据-取费表'!S"&amp;$G$1))/10000,0)</f>
        <v>180</v>
      </c>
      <c r="D17" s="302" t="s">
        <v>717</v>
      </c>
      <c r="E17" s="302" t="s">
        <v>718</v>
      </c>
      <c r="F17" s="23">
        <f>'数据-取费表'!B35</f>
        <v>200</v>
      </c>
      <c r="G17" s="1395"/>
      <c r="H17" s="982" t="s">
        <v>398</v>
      </c>
      <c r="I17" s="302" t="s">
        <v>719</v>
      </c>
      <c r="J17" s="2312">
        <f ca="1">ROUND(IF(AND(项目基本情况!B11="自然人",项目基本情况!B10="北京市"),J6*M17/(1+'数据-取费表'!C42),J18+J19+J20),2)</f>
        <v>0.55000000000000004</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3802</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76</v>
      </c>
      <c r="D20" s="323" t="s">
        <v>729</v>
      </c>
      <c r="E20" s="302" t="s">
        <v>712</v>
      </c>
      <c r="F20" s="322">
        <f>'数据-取费表'!B37</f>
        <v>0.02</v>
      </c>
      <c r="G20" s="1395"/>
      <c r="H20" s="982" t="s">
        <v>680</v>
      </c>
      <c r="I20" s="155" t="s">
        <v>730</v>
      </c>
      <c r="J20" s="22">
        <f ca="1">ROUND(M20*M21/10000,2)</f>
        <v>0.55000000000000004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3668.89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47.62</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138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-48</v>
      </c>
      <c r="K25" s="1095" t="s">
        <v>753</v>
      </c>
      <c r="L25" s="1096"/>
      <c r="M25" s="1097"/>
    </row>
    <row r="26" spans="1:37">
      <c r="A26" s="982" t="s">
        <v>397</v>
      </c>
      <c r="B26" s="302" t="s">
        <v>754</v>
      </c>
      <c r="C26" s="21">
        <f ca="1">ROUND((C19+C20)*F26,0)</f>
        <v>388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4762</v>
      </c>
      <c r="D29" s="1092"/>
      <c r="E29" s="1090"/>
      <c r="F29" s="1093"/>
      <c r="G29" s="1395"/>
      <c r="H29" s="334" t="s">
        <v>396</v>
      </c>
      <c r="I29" s="335" t="s">
        <v>768</v>
      </c>
      <c r="J29" s="336">
        <f ca="1">ROUND(J26/(1+F40)^F41,0)</f>
        <v>0</v>
      </c>
      <c r="K29" s="337" t="s">
        <v>769</v>
      </c>
      <c r="L29" s="338"/>
      <c r="M29" s="339">
        <f ca="1">INDIRECT("'数据-取费表'!k"&amp;$G$1)</f>
        <v>8677.7000000000007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83</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29.05</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8.9600000000000009</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19.54</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0.55000000000000004</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3668.89</v>
      </c>
      <c r="G35" s="1383"/>
      <c r="H35" s="2693"/>
      <c r="I35" s="1397"/>
      <c r="J35" s="1398"/>
      <c r="K35" s="2697"/>
      <c r="L35" s="2696"/>
      <c r="M35" s="2696"/>
    </row>
    <row r="36" spans="1:18" ht="18" customHeight="1">
      <c r="A36" s="1102" t="s">
        <v>402</v>
      </c>
      <c r="B36" s="302" t="s">
        <v>738</v>
      </c>
      <c r="C36" s="21">
        <f ca="1">ROUND(C29*F36,2)</f>
        <v>47.62</v>
      </c>
      <c r="D36" s="1343" t="s">
        <v>771</v>
      </c>
      <c r="E36" s="302" t="s">
        <v>712</v>
      </c>
      <c r="F36" s="328">
        <f ca="1">INDIRECT("'数据-取费表'!Ak"&amp;$G$1)</f>
        <v>0.01</v>
      </c>
      <c r="G36" s="1383"/>
      <c r="H36" s="2696"/>
      <c r="I36" s="1397"/>
      <c r="J36" s="1398"/>
      <c r="K36" s="2540"/>
      <c r="L36" s="2696"/>
      <c r="M36" s="2696"/>
    </row>
    <row r="37" spans="1:18" ht="18" customHeight="1">
      <c r="A37" s="982" t="s">
        <v>437</v>
      </c>
      <c r="B37" s="302" t="s">
        <v>742</v>
      </c>
      <c r="C37" s="21">
        <f ca="1">ROUND(C13*F37,2)</f>
        <v>4.76</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1.71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88</v>
      </c>
      <c r="D39" s="1095" t="s">
        <v>773</v>
      </c>
      <c r="E39" s="1096"/>
      <c r="F39" s="1097"/>
      <c r="G39" s="1383"/>
      <c r="H39" s="2696"/>
      <c r="I39" s="1397"/>
      <c r="J39" s="1398"/>
      <c r="K39" s="2700"/>
      <c r="L39" s="2696"/>
      <c r="M39" s="2696"/>
    </row>
    <row r="40" spans="1:18" ht="18" customHeight="1">
      <c r="A40" s="299" t="s">
        <v>395</v>
      </c>
      <c r="B40" s="300" t="s">
        <v>774</v>
      </c>
      <c r="C40" s="301">
        <f ca="1">ROUND(C39*(1-((1+F42)/(1+F40))^F41)/(F40-F42),0)</f>
        <v>2116</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44.309999999999995</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2438</v>
      </c>
      <c r="D43" s="337" t="s">
        <v>777</v>
      </c>
      <c r="E43" s="338" t="s">
        <v>778</v>
      </c>
      <c r="F43" s="339">
        <f ca="1">INDIRECT("'数据-取费表'!k"&amp;$G$1)</f>
        <v>8677.7000000000007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-2990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3930</v>
      </c>
      <c r="K47" s="1415" t="s">
        <v>816</v>
      </c>
      <c r="L47" s="1416">
        <f ca="1">INDIRECT("'数据-取费表'!d"&amp;$G$1)</f>
        <v>50</v>
      </c>
      <c r="M47" s="1379" t="str">
        <f>IF(ISNUMBER(FIND("住宅",C1)),"住宅","非住宅")</f>
        <v>非住宅</v>
      </c>
      <c r="O47" s="1417" t="s">
        <v>403</v>
      </c>
      <c r="P47" s="1418" t="s">
        <v>817</v>
      </c>
      <c r="Q47" s="1419">
        <f ca="1">C40+J29</f>
        <v>2116</v>
      </c>
      <c r="R47" s="1419" t="s">
        <v>818</v>
      </c>
    </row>
    <row r="48" spans="1:18" s="1383" customFormat="1" ht="28.5" thickBot="1">
      <c r="A48" s="1110" t="s">
        <v>438</v>
      </c>
      <c r="B48" s="300" t="s">
        <v>692</v>
      </c>
      <c r="C48" s="1358">
        <f ca="1">C49+C53+C55</f>
        <v>0</v>
      </c>
      <c r="D48" s="1112"/>
      <c r="E48" s="1113"/>
      <c r="F48" s="962"/>
      <c r="G48" s="722"/>
      <c r="H48" s="723"/>
      <c r="I48" s="1420" t="s">
        <v>819</v>
      </c>
      <c r="J48" s="1421" t="s">
        <v>3931</v>
      </c>
      <c r="K48" s="1422" t="s">
        <v>820</v>
      </c>
      <c r="L48" s="1423">
        <f ca="1">INDIRECT("'数据-取费表'!f"&amp;$G$1)</f>
        <v>46.23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4762</v>
      </c>
      <c r="R49" s="1419" t="s">
        <v>818</v>
      </c>
    </row>
    <row r="50" spans="1:18" s="1383" customFormat="1" ht="13.5" thickBot="1">
      <c r="A50" s="976"/>
      <c r="B50" s="979"/>
      <c r="C50" s="1118"/>
      <c r="D50" s="953"/>
      <c r="E50" s="1056" t="s">
        <v>697</v>
      </c>
      <c r="F50" s="1057">
        <f ca="1">F7</f>
        <v>8677.7000000000007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61</v>
      </c>
      <c r="K51" s="1433" t="s">
        <v>830</v>
      </c>
      <c r="L51" s="1434">
        <f ca="1">ROUND(-PV(INDIRECT("'数据-取费表'!h"&amp;$G$1),J51,(C39-C13*C76),0),0)</f>
        <v>-4657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44.309999999999995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44.309999999999995</v>
      </c>
      <c r="K53" s="3720" t="s">
        <v>837</v>
      </c>
      <c r="L53" s="3721"/>
      <c r="O53" s="1417" t="s">
        <v>409</v>
      </c>
      <c r="P53" s="1418" t="s">
        <v>838</v>
      </c>
      <c r="Q53" s="1419">
        <f ca="1">Q47+Q48</f>
        <v>2116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4762</v>
      </c>
      <c r="D56" s="1446"/>
      <c r="E56" s="1447"/>
      <c r="F56" s="1439"/>
      <c r="I56" s="1448" t="s">
        <v>842</v>
      </c>
      <c r="J56" s="1449" t="s">
        <v>3434</v>
      </c>
      <c r="K56" s="1420" t="s">
        <v>843</v>
      </c>
      <c r="L56" s="1423" t="str">
        <f ca="1">IF(L48&lt;J51,"——",L48-J53)</f>
        <v>——</v>
      </c>
      <c r="O56" s="1417" t="s">
        <v>403</v>
      </c>
      <c r="P56" s="1418" t="s">
        <v>817</v>
      </c>
      <c r="Q56" s="1419">
        <f ca="1">C40+J29</f>
        <v>2116</v>
      </c>
      <c r="R56" s="1419" t="s">
        <v>818</v>
      </c>
    </row>
    <row r="57" spans="1:18" s="1383" customFormat="1" ht="24.75" thickBot="1">
      <c r="A57" s="1450"/>
      <c r="B57" s="950" t="s">
        <v>767</v>
      </c>
      <c r="C57" s="238">
        <f ca="1">C29</f>
        <v>4762</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53</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0.55000000000000004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2116</v>
      </c>
      <c r="R62" s="1419" t="s">
        <v>410</v>
      </c>
    </row>
    <row r="63" spans="1:18" s="1383" customFormat="1" ht="13.5" thickBot="1">
      <c r="A63" s="326"/>
      <c r="B63" s="956"/>
      <c r="C63" s="26"/>
      <c r="D63" s="966"/>
      <c r="E63" s="950" t="s">
        <v>788</v>
      </c>
      <c r="F63" s="303">
        <f t="shared" ca="1" si="0"/>
        <v>3668.89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47.62</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4.76</v>
      </c>
      <c r="D65" s="964" t="s">
        <v>743</v>
      </c>
      <c r="E65" s="950" t="s">
        <v>744</v>
      </c>
      <c r="F65" s="330">
        <f t="shared" ca="1" si="0"/>
        <v>1E-3</v>
      </c>
      <c r="I65" s="1461" t="s">
        <v>867</v>
      </c>
      <c r="J65" s="1462">
        <v>40</v>
      </c>
      <c r="K65" s="1462">
        <v>30</v>
      </c>
      <c r="L65" s="1462">
        <v>50</v>
      </c>
      <c r="M65" s="1464">
        <v>0.02</v>
      </c>
      <c r="O65" s="1417" t="s">
        <v>403</v>
      </c>
      <c r="P65" s="1418" t="s">
        <v>868</v>
      </c>
      <c r="Q65" s="1419">
        <f ca="1">C40+J29</f>
        <v>2116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-53</v>
      </c>
      <c r="D67" s="963" t="s">
        <v>753</v>
      </c>
      <c r="E67" s="968"/>
      <c r="F67" s="969"/>
      <c r="O67" s="1427" t="s">
        <v>405</v>
      </c>
      <c r="P67" s="1418" t="s">
        <v>850</v>
      </c>
      <c r="Q67" s="1465">
        <f ca="1">L51</f>
        <v>-4657</v>
      </c>
      <c r="R67" s="1419" t="s">
        <v>870</v>
      </c>
    </row>
    <row r="68" spans="1:18" s="1383" customFormat="1" ht="16.5" thickBot="1">
      <c r="A68" s="947" t="s">
        <v>395</v>
      </c>
      <c r="B68" s="948" t="s">
        <v>774</v>
      </c>
      <c r="C68" s="301">
        <f ca="1">ROUND(C67*(1-((1+F70)/(1+F68))^F69)/(F68-F70),0)</f>
        <v>-874</v>
      </c>
      <c r="D68" s="965" t="s">
        <v>758</v>
      </c>
      <c r="E68" s="950" t="s">
        <v>759</v>
      </c>
      <c r="F68" s="312">
        <f ca="1">F40</f>
        <v>5.5E-2</v>
      </c>
      <c r="O68" s="1427" t="s">
        <v>406</v>
      </c>
      <c r="P68" s="1466" t="s">
        <v>871</v>
      </c>
      <c r="Q68" s="1419">
        <f ca="1">ROUND(Q69-Q70*Q71,0)</f>
        <v>-245</v>
      </c>
      <c r="R68" s="1419" t="s">
        <v>414</v>
      </c>
    </row>
    <row r="69" spans="1:18" s="1383" customFormat="1" ht="13.5" thickBot="1">
      <c r="A69" s="951"/>
      <c r="B69" s="952"/>
      <c r="C69" s="306"/>
      <c r="D69" s="970" t="s">
        <v>762</v>
      </c>
      <c r="E69" s="950" t="s">
        <v>763</v>
      </c>
      <c r="F69" s="333">
        <f ca="1">F41</f>
        <v>44.309999999999995</v>
      </c>
      <c r="O69" s="1427" t="s">
        <v>411</v>
      </c>
      <c r="P69" s="1466" t="s">
        <v>872</v>
      </c>
      <c r="Q69" s="1419">
        <f ca="1">C39</f>
        <v>88</v>
      </c>
      <c r="R69" s="1419" t="s">
        <v>818</v>
      </c>
    </row>
    <row r="70" spans="1:18" s="1383" customFormat="1" ht="13.5" thickBot="1">
      <c r="A70" s="954"/>
      <c r="B70" s="955"/>
      <c r="C70" s="310"/>
      <c r="D70" s="966"/>
      <c r="E70" s="950" t="s">
        <v>766</v>
      </c>
      <c r="F70" s="1054"/>
      <c r="O70" s="1427" t="s">
        <v>412</v>
      </c>
      <c r="P70" s="1466" t="s">
        <v>873</v>
      </c>
      <c r="Q70" s="1419">
        <f ca="1">C13</f>
        <v>4762</v>
      </c>
      <c r="R70" s="1419" t="s">
        <v>818</v>
      </c>
    </row>
    <row r="71" spans="1:18" s="1383" customFormat="1" ht="13.5" thickBot="1">
      <c r="A71" s="971" t="s">
        <v>396</v>
      </c>
      <c r="B71" s="972" t="s">
        <v>776</v>
      </c>
      <c r="C71" s="336">
        <f ca="1">ROUND(C68*10000/F71,0)</f>
        <v>-1007</v>
      </c>
      <c r="D71" s="973" t="s">
        <v>777</v>
      </c>
      <c r="E71" s="974" t="s">
        <v>778</v>
      </c>
      <c r="F71" s="339">
        <f ca="1">F43</f>
        <v>8677.7000000000007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333</v>
      </c>
      <c r="D75" s="1383"/>
      <c r="E75" s="1383"/>
      <c r="F75" s="1383"/>
      <c r="K75" s="1401"/>
      <c r="L75" s="1383"/>
      <c r="O75" s="1417" t="s">
        <v>409</v>
      </c>
      <c r="P75" s="1418" t="s">
        <v>838</v>
      </c>
      <c r="Q75" s="1419">
        <f ca="1">Q65+Q66</f>
        <v>2116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-2.7839999999999998</v>
      </c>
    </row>
    <row r="80" spans="1:18">
      <c r="B80" s="340" t="s">
        <v>800</v>
      </c>
      <c r="C80" s="274">
        <f ca="1">ROUND(C75/C39,3)</f>
        <v>3.7839999999999998</v>
      </c>
    </row>
    <row r="81" spans="2:3">
      <c r="B81" s="270" t="s">
        <v>801</v>
      </c>
      <c r="C81" s="238"/>
    </row>
    <row r="82" spans="2:3">
      <c r="B82" s="273" t="s">
        <v>802</v>
      </c>
      <c r="C82" s="275">
        <f ca="1">1-C83</f>
        <v>-1.25</v>
      </c>
    </row>
    <row r="83" spans="2:3">
      <c r="B83" s="273" t="s">
        <v>803</v>
      </c>
      <c r="C83" s="274">
        <f ca="1">ROUND(C13/C40,3)</f>
        <v>2.25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2" t="s">
        <v>694</v>
      </c>
      <c r="C6" s="1074">
        <f ca="1">ROUND(F6*F8*F7*(1-F9),0)</f>
        <v>0</v>
      </c>
      <c r="D6" s="155" t="s">
        <v>2106</v>
      </c>
      <c r="E6" s="302" t="s">
        <v>696</v>
      </c>
      <c r="F6" s="303">
        <f ca="1">INDIRECT("'数据-取费表'!u"&amp;$G$1)</f>
        <v>0</v>
      </c>
      <c r="G6" s="1383"/>
      <c r="H6" s="1069" t="s">
        <v>398</v>
      </c>
      <c r="I6" s="3722" t="s">
        <v>694</v>
      </c>
      <c r="J6" s="301">
        <f ca="1">ROUND(M6*M8*M7*(1-M9),0)</f>
        <v>0</v>
      </c>
      <c r="K6" s="1375" t="s">
        <v>2107</v>
      </c>
      <c r="L6" s="302" t="s">
        <v>696</v>
      </c>
      <c r="M6" s="303">
        <f ca="1">INDIRECT("'数据-取费表'!z"&amp;$G$1)</f>
        <v>0</v>
      </c>
    </row>
    <row r="7" spans="1:37" ht="18" customHeight="1">
      <c r="A7" s="1073"/>
      <c r="B7" s="3723"/>
      <c r="C7" s="1075"/>
      <c r="D7" s="307"/>
      <c r="E7" s="1076" t="s">
        <v>697</v>
      </c>
      <c r="F7" s="303">
        <f ca="1">IF(INDIRECT("'数据-取费表'!ah"&amp;$G$1)="",INDIRECT("'数据-取费表'!k"&amp;$G$1),INDIRECT("'数据-取费表'!ah"&amp;$G$1))</f>
        <v>0</v>
      </c>
      <c r="G7" s="1383"/>
      <c r="H7" s="304"/>
      <c r="I7" s="3723"/>
      <c r="J7" s="306"/>
      <c r="K7" s="307"/>
      <c r="L7" s="302" t="s">
        <v>697</v>
      </c>
      <c r="M7" s="303">
        <f ca="1">F7</f>
        <v>0</v>
      </c>
    </row>
    <row r="8" spans="1:37" ht="18" customHeight="1">
      <c r="A8" s="304"/>
      <c r="B8" s="3723"/>
      <c r="C8" s="306"/>
      <c r="D8" s="307"/>
      <c r="E8" s="302" t="s">
        <v>698</v>
      </c>
      <c r="F8" s="303">
        <f ca="1">INDIRECT("'数据-取费表'!ai"&amp;$G$1)</f>
        <v>0</v>
      </c>
      <c r="G8" s="1383"/>
      <c r="H8" s="304"/>
      <c r="I8" s="3723"/>
      <c r="J8" s="306"/>
      <c r="K8" s="307"/>
      <c r="L8" s="302" t="s">
        <v>698</v>
      </c>
      <c r="M8" s="303">
        <f ca="1">INDIRECT("'数据-取费表'!ai"&amp;$G$1)</f>
        <v>0</v>
      </c>
    </row>
    <row r="9" spans="1:37" ht="18" customHeight="1">
      <c r="A9" s="304"/>
      <c r="B9" s="3724"/>
      <c r="C9" s="306"/>
      <c r="D9" s="307"/>
      <c r="E9" s="302" t="s">
        <v>699</v>
      </c>
      <c r="F9" s="312">
        <f ca="1">INDIRECT("'数据-取费表'!w"&amp;$G$1)</f>
        <v>0</v>
      </c>
      <c r="G9" s="1383"/>
      <c r="H9" s="304"/>
      <c r="I9" s="372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3358</v>
      </c>
      <c r="B45" s="1399"/>
      <c r="C45" s="1471" t="e">
        <f ca="1">ROUND((C68-C40)/10000,4)</f>
        <v>#DIV/0!</v>
      </c>
      <c r="D45" s="3428"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20" t="s">
        <v>837</v>
      </c>
      <c r="L53" s="372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4" t="s">
        <v>2319</v>
      </c>
      <c r="B2" s="2839" t="e">
        <f>IF(D2="——",C40,C40+E2)</f>
        <v>#DIV/0!</v>
      </c>
      <c r="C2" s="2840" t="s">
        <v>2320</v>
      </c>
      <c r="D2" s="3439" t="s">
        <v>3365</v>
      </c>
      <c r="E2" s="3440"/>
      <c r="F2" s="2842"/>
      <c r="G2" s="2843"/>
      <c r="H2" s="2844"/>
      <c r="I2" s="2845"/>
      <c r="J2" s="3731" t="s">
        <v>2321</v>
      </c>
      <c r="K2" s="3732"/>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33" t="s">
        <v>2331</v>
      </c>
      <c r="K3" s="3734"/>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33" t="s">
        <v>2333</v>
      </c>
      <c r="K4" s="3734"/>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39" t="s">
        <v>2337</v>
      </c>
      <c r="B6" s="3740"/>
      <c r="C6" s="3741"/>
      <c r="D6" s="2866"/>
      <c r="E6" s="2867"/>
      <c r="F6" s="2868"/>
      <c r="G6" s="2869"/>
      <c r="H6" s="2844"/>
      <c r="I6" s="2845"/>
      <c r="J6" s="3725">
        <v>1</v>
      </c>
      <c r="K6" s="3726"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25"/>
      <c r="K7" s="3727"/>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42" t="s">
        <v>2351</v>
      </c>
      <c r="C8" s="3743"/>
      <c r="D8" s="2885" t="s">
        <v>2352</v>
      </c>
      <c r="E8" s="2886" t="s">
        <v>2353</v>
      </c>
      <c r="F8" s="2887" t="s">
        <v>2354</v>
      </c>
      <c r="G8" s="2888"/>
      <c r="H8" s="2844"/>
      <c r="I8" s="2845"/>
      <c r="J8" s="3725"/>
      <c r="K8" s="3727"/>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42" t="s">
        <v>2357</v>
      </c>
      <c r="C9" s="3743"/>
      <c r="D9" s="2885">
        <f>ROUND(D6*E9,0)</f>
        <v>0</v>
      </c>
      <c r="E9" s="2889"/>
      <c r="F9" s="2890" t="s">
        <v>2358</v>
      </c>
      <c r="G9" s="2869"/>
      <c r="H9" s="2844"/>
      <c r="I9" s="2845"/>
      <c r="J9" s="3725"/>
      <c r="K9" s="3727"/>
      <c r="L9" s="2879" t="s">
        <v>2359</v>
      </c>
      <c r="M9" s="2880"/>
      <c r="N9" s="2856"/>
      <c r="O9" s="2881"/>
      <c r="P9" s="2881"/>
      <c r="Q9" s="2882">
        <v>365</v>
      </c>
      <c r="R9" s="2883">
        <f t="shared" si="0"/>
        <v>0</v>
      </c>
      <c r="S9" s="2837"/>
      <c r="T9" s="2837"/>
      <c r="U9" s="2837"/>
      <c r="V9" s="2845"/>
    </row>
    <row r="10" spans="1:22" s="2849" customFormat="1" ht="13.15" customHeight="1">
      <c r="A10" s="2884">
        <v>2</v>
      </c>
      <c r="B10" s="3742" t="s">
        <v>2360</v>
      </c>
      <c r="C10" s="3743"/>
      <c r="D10" s="2885">
        <f>ROUND(D6*E10,0)</f>
        <v>0</v>
      </c>
      <c r="E10" s="2889"/>
      <c r="F10" s="2890" t="s">
        <v>2361</v>
      </c>
      <c r="G10" s="2869"/>
      <c r="H10" s="2844"/>
      <c r="I10" s="2845"/>
      <c r="J10" s="3725"/>
      <c r="K10" s="3727"/>
      <c r="L10" s="2879" t="s">
        <v>2362</v>
      </c>
      <c r="M10" s="2880"/>
      <c r="N10" s="2856"/>
      <c r="O10" s="2881"/>
      <c r="P10" s="2881"/>
      <c r="Q10" s="2882">
        <v>365</v>
      </c>
      <c r="R10" s="2883">
        <f t="shared" si="0"/>
        <v>0</v>
      </c>
      <c r="S10" s="2837"/>
      <c r="T10" s="2837"/>
      <c r="U10" s="2837"/>
      <c r="V10" s="2845"/>
    </row>
    <row r="11" spans="1:22" s="2849" customFormat="1" ht="13.15" customHeight="1">
      <c r="A11" s="2884">
        <v>3</v>
      </c>
      <c r="B11" s="3742" t="s">
        <v>2363</v>
      </c>
      <c r="C11" s="3743"/>
      <c r="D11" s="2885">
        <f>D12+D14+D15+D16</f>
        <v>0</v>
      </c>
      <c r="E11" s="2891" t="e">
        <f>D11/D6</f>
        <v>#DIV/0!</v>
      </c>
      <c r="F11" s="2887"/>
      <c r="G11" s="2888"/>
      <c r="H11" s="2844"/>
      <c r="I11" s="2845"/>
      <c r="J11" s="3725"/>
      <c r="K11" s="3727"/>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35" t="s">
        <v>2366</v>
      </c>
      <c r="C12" s="3736"/>
      <c r="D12" s="2893">
        <f>ROUND(D13*1.2%*(1-30%),0)</f>
        <v>0</v>
      </c>
      <c r="E12" s="2894">
        <v>1.2E-2</v>
      </c>
      <c r="F12" s="2887" t="s">
        <v>2367</v>
      </c>
      <c r="G12" s="2888"/>
      <c r="H12" s="2844"/>
      <c r="I12" s="2845"/>
      <c r="J12" s="3725"/>
      <c r="K12" s="3727"/>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25"/>
      <c r="K13" s="3727"/>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35" t="s">
        <v>2372</v>
      </c>
      <c r="C14" s="3736"/>
      <c r="D14" s="2893">
        <f>ROUND(E14*B5/10000,0)</f>
        <v>0</v>
      </c>
      <c r="E14" s="2882"/>
      <c r="F14" s="2887" t="s">
        <v>2373</v>
      </c>
      <c r="G14" s="2888"/>
      <c r="H14" s="2844"/>
      <c r="I14" s="2845"/>
      <c r="J14" s="3725"/>
      <c r="K14" s="3728"/>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35" t="s">
        <v>2376</v>
      </c>
      <c r="C15" s="3736"/>
      <c r="D15" s="2893">
        <f>ROUND(D6*E15,0)</f>
        <v>0</v>
      </c>
      <c r="E15" s="2894">
        <v>5.5E-2</v>
      </c>
      <c r="F15" s="2887" t="s">
        <v>2377</v>
      </c>
      <c r="G15" s="2869"/>
      <c r="H15" s="2844"/>
      <c r="I15" s="2845"/>
      <c r="J15" s="3725">
        <v>2</v>
      </c>
      <c r="K15" s="3726"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35" t="s">
        <v>2385</v>
      </c>
      <c r="C16" s="3736"/>
      <c r="D16" s="2904">
        <f>D6*E16</f>
        <v>0</v>
      </c>
      <c r="E16" s="2905"/>
      <c r="F16" s="2890" t="s">
        <v>2386</v>
      </c>
      <c r="G16" s="2869"/>
      <c r="H16" s="2844"/>
      <c r="I16" s="2845"/>
      <c r="J16" s="3725"/>
      <c r="K16" s="3727"/>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37" t="s">
        <v>2388</v>
      </c>
      <c r="C17" s="3738"/>
      <c r="D17" s="2907">
        <f>ROUND(D6*E17,0)</f>
        <v>0</v>
      </c>
      <c r="E17" s="2908"/>
      <c r="F17" s="2909" t="s">
        <v>2389</v>
      </c>
      <c r="G17" s="2869"/>
      <c r="H17" s="2844"/>
      <c r="I17" s="2845"/>
      <c r="J17" s="3725"/>
      <c r="K17" s="3727"/>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25"/>
      <c r="K18" s="3727"/>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25"/>
      <c r="K19" s="3728"/>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5">
        <v>3</v>
      </c>
      <c r="K20" s="3726"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25"/>
      <c r="K21" s="3727"/>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25"/>
      <c r="K22" s="3727"/>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25"/>
      <c r="K23" s="3727"/>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25"/>
      <c r="K24" s="3728"/>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29">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3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31" t="s">
        <v>2321</v>
      </c>
      <c r="K32" s="3732"/>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33" t="s">
        <v>2331</v>
      </c>
      <c r="K33" s="3734"/>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33" t="s">
        <v>2333</v>
      </c>
      <c r="K34" s="373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25">
        <v>1</v>
      </c>
      <c r="K36" s="3726"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25"/>
      <c r="K37" s="3727"/>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5"/>
      <c r="K38" s="3727"/>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25"/>
      <c r="K39" s="3727"/>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25"/>
      <c r="K40" s="3728"/>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9">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3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2116</v>
      </c>
      <c r="C2" s="1871" t="s">
        <v>1651</v>
      </c>
      <c r="D2" s="1872" t="s">
        <v>1652</v>
      </c>
      <c r="E2" s="2603">
        <f>SUM(E6:E13)</f>
        <v>9011.6400000000012</v>
      </c>
      <c r="F2" s="2703"/>
      <c r="G2" s="1488"/>
      <c r="H2" s="1488"/>
      <c r="I2" s="1488"/>
      <c r="J2" s="1488"/>
      <c r="K2" s="1488"/>
      <c r="L2" s="1488"/>
      <c r="M2" s="1488"/>
      <c r="N2" s="1488"/>
      <c r="O2" s="1488"/>
      <c r="P2" s="1488"/>
      <c r="Q2" s="1488"/>
      <c r="R2" s="1488"/>
      <c r="S2" s="1488"/>
    </row>
    <row r="3" spans="1:22" ht="15.75">
      <c r="A3" s="1869" t="s">
        <v>686</v>
      </c>
      <c r="B3" s="2597">
        <f ca="1">ROUND(B2*10000/E2,0)</f>
        <v>2348</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44" t="s">
        <v>1654</v>
      </c>
      <c r="C5" s="3745"/>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t="str">
        <f>'数据-取费表'!AN7</f>
        <v>收益法</v>
      </c>
      <c r="B7" s="2598">
        <f ca="1">IF(F7="是",'数据-取费表'!AO7,0)</f>
        <v>2116</v>
      </c>
      <c r="C7" s="1871" t="s">
        <v>1651</v>
      </c>
      <c r="D7" s="2705"/>
      <c r="E7" s="2602">
        <f>IF(OR(A7=0,F7="否"),0,'数据-取费表'!K7+'数据-取费表'!S7)</f>
        <v>9011.6400000000012</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估价对象为北京市房地产，为所有。根据《国有土地使用证》[]，估价对象（分摊）出让国有建设用地使用权面积为18302.1平方米，建筑面积为44954.17平方米。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估价对象为北京市房地产,属开发建设的，该项目尚在开发建设中。根据《国有土地使用证》[]，估价对象（分摊）出让国有建设用地使用权面积为18302.1平方米，规划建筑面积为44954.17平方米。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44954.17</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674" t="s">
        <v>1770</v>
      </c>
      <c r="D4" s="3686"/>
      <c r="E4" s="3687" t="s">
        <v>1771</v>
      </c>
      <c r="F4" s="3688"/>
      <c r="G4" s="3674" t="s">
        <v>1772</v>
      </c>
      <c r="H4" s="3686"/>
      <c r="I4" s="3674" t="s">
        <v>1773</v>
      </c>
      <c r="J4" s="3686"/>
      <c r="K4" s="559" t="s">
        <v>1774</v>
      </c>
      <c r="L4" s="2711"/>
      <c r="M4" s="2712"/>
      <c r="N4" s="2712"/>
      <c r="O4" s="2712"/>
      <c r="P4" s="3689" t="s">
        <v>1775</v>
      </c>
      <c r="Q4" s="3690"/>
      <c r="R4" s="3695" t="s">
        <v>1771</v>
      </c>
      <c r="S4" s="3696"/>
      <c r="T4" s="3695" t="s">
        <v>1772</v>
      </c>
      <c r="U4" s="3696"/>
      <c r="V4" s="3682" t="s">
        <v>1773</v>
      </c>
      <c r="W4" s="3682"/>
      <c r="X4" s="1354"/>
      <c r="Y4" s="3695" t="s">
        <v>1775</v>
      </c>
      <c r="Z4" s="3696"/>
      <c r="AA4" s="3683" t="s">
        <v>1771</v>
      </c>
      <c r="AB4" s="3682" t="s">
        <v>1772</v>
      </c>
      <c r="AC4" s="3683"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2"/>
      <c r="W5" s="3682"/>
      <c r="X5" s="1354"/>
      <c r="Y5" s="3697"/>
      <c r="Z5" s="3698"/>
      <c r="AA5" s="3684"/>
      <c r="AB5" s="3682"/>
      <c r="AC5" s="3684"/>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2"/>
      <c r="W6" s="3682"/>
      <c r="X6" s="1354"/>
      <c r="Y6" s="3699"/>
      <c r="Z6" s="3700"/>
      <c r="AA6" s="3685"/>
      <c r="AB6" s="3682"/>
      <c r="AC6" s="3685"/>
    </row>
    <row r="7" spans="1:29" s="108" customFormat="1" ht="15.75" thickBot="1">
      <c r="A7" s="362" t="s">
        <v>1679</v>
      </c>
      <c r="B7" s="363"/>
      <c r="C7" s="364">
        <f>'数据-取费表'!B2</f>
        <v>45132</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6"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6"/>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6"/>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6"/>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6"/>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6"/>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18" t="s">
        <v>1691</v>
      </c>
      <c r="Q15" s="1351" t="str">
        <f t="shared" si="6"/>
        <v>商业繁华度</v>
      </c>
      <c r="R15" s="705" t="s">
        <v>14</v>
      </c>
      <c r="S15" s="706">
        <f t="shared" si="0"/>
        <v>100</v>
      </c>
      <c r="T15" s="705" t="s">
        <v>14</v>
      </c>
      <c r="U15" s="706">
        <f t="shared" si="1"/>
        <v>100</v>
      </c>
      <c r="V15" s="705" t="s">
        <v>14</v>
      </c>
      <c r="W15" s="706">
        <f t="shared" si="2"/>
        <v>100</v>
      </c>
      <c r="X15" s="1354"/>
      <c r="Y15" s="367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19"/>
      <c r="Q16" s="1351"/>
      <c r="R16" s="705"/>
      <c r="S16" s="706"/>
      <c r="T16" s="705"/>
      <c r="U16" s="706"/>
      <c r="V16" s="705"/>
      <c r="W16" s="706"/>
      <c r="X16" s="1354"/>
      <c r="Y16" s="3679"/>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19"/>
      <c r="Q18" s="1351"/>
      <c r="R18" s="705"/>
      <c r="S18" s="706"/>
      <c r="T18" s="705"/>
      <c r="U18" s="706"/>
      <c r="V18" s="705"/>
      <c r="W18" s="706"/>
      <c r="X18" s="1354"/>
      <c r="Y18" s="3679"/>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19"/>
      <c r="Q20" s="1351"/>
      <c r="R20" s="705"/>
      <c r="S20" s="706"/>
      <c r="T20" s="705"/>
      <c r="U20" s="706"/>
      <c r="V20" s="705"/>
      <c r="W20" s="706"/>
      <c r="X20" s="1354"/>
      <c r="Y20" s="3679"/>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19"/>
      <c r="Q22" s="1351"/>
      <c r="R22" s="705"/>
      <c r="S22" s="706"/>
      <c r="T22" s="705"/>
      <c r="U22" s="706"/>
      <c r="V22" s="705"/>
      <c r="W22" s="706"/>
      <c r="X22" s="1354"/>
      <c r="Y22" s="3679"/>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9"/>
      <c r="Q23" s="1351" t="str">
        <f>B23</f>
        <v>自然及人文环境</v>
      </c>
      <c r="R23" s="705" t="s">
        <v>14</v>
      </c>
      <c r="S23" s="706">
        <f>F23</f>
        <v>100</v>
      </c>
      <c r="T23" s="705" t="s">
        <v>14</v>
      </c>
      <c r="U23" s="706">
        <f>H23</f>
        <v>100</v>
      </c>
      <c r="V23" s="705" t="s">
        <v>14</v>
      </c>
      <c r="W23" s="706">
        <f>J23</f>
        <v>100</v>
      </c>
      <c r="X23" s="1354"/>
      <c r="Y23" s="3679"/>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19"/>
      <c r="Q24" s="1351"/>
      <c r="R24" s="705"/>
      <c r="S24" s="706"/>
      <c r="T24" s="705"/>
      <c r="U24" s="706"/>
      <c r="V24" s="705"/>
      <c r="W24" s="706"/>
      <c r="X24" s="1354"/>
      <c r="Y24" s="367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9"/>
      <c r="Q25" s="1351" t="str">
        <f t="shared" ref="Q25:Q46" si="11">B25</f>
        <v>临街状况</v>
      </c>
      <c r="R25" s="705" t="s">
        <v>14</v>
      </c>
      <c r="S25" s="706">
        <f>F25</f>
        <v>100</v>
      </c>
      <c r="T25" s="705" t="s">
        <v>14</v>
      </c>
      <c r="U25" s="706">
        <f>H25</f>
        <v>100</v>
      </c>
      <c r="V25" s="705" t="s">
        <v>14</v>
      </c>
      <c r="W25" s="706">
        <f>J25</f>
        <v>100</v>
      </c>
      <c r="X25" s="1354"/>
      <c r="Y25" s="367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9"/>
      <c r="Q26" s="1351" t="str">
        <f t="shared" si="11"/>
        <v>平面位置/可视性</v>
      </c>
      <c r="R26" s="705" t="s">
        <v>14</v>
      </c>
      <c r="S26" s="706">
        <f>F26</f>
        <v>100</v>
      </c>
      <c r="T26" s="705" t="s">
        <v>14</v>
      </c>
      <c r="U26" s="706">
        <f>H26</f>
        <v>100</v>
      </c>
      <c r="V26" s="705" t="s">
        <v>14</v>
      </c>
      <c r="W26" s="706">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19"/>
      <c r="Q27" s="1342" t="str">
        <f t="shared" si="11"/>
        <v>人流量</v>
      </c>
      <c r="R27" s="701" t="s">
        <v>14</v>
      </c>
      <c r="S27" s="702">
        <f>F27</f>
        <v>100</v>
      </c>
      <c r="T27" s="701" t="s">
        <v>14</v>
      </c>
      <c r="U27" s="702">
        <f>H27</f>
        <v>100</v>
      </c>
      <c r="V27" s="701" t="s">
        <v>14</v>
      </c>
      <c r="W27" s="702">
        <f>J27</f>
        <v>100</v>
      </c>
      <c r="X27" s="703"/>
      <c r="Y27" s="367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9"/>
      <c r="Q29" s="1351">
        <f t="shared" si="11"/>
        <v>111</v>
      </c>
      <c r="R29" s="705" t="s">
        <v>14</v>
      </c>
      <c r="S29" s="706">
        <f t="shared" si="12"/>
        <v>100</v>
      </c>
      <c r="T29" s="705" t="s">
        <v>14</v>
      </c>
      <c r="U29" s="706">
        <f t="shared" si="13"/>
        <v>100</v>
      </c>
      <c r="V29" s="705" t="s">
        <v>14</v>
      </c>
      <c r="W29" s="706">
        <f t="shared" si="14"/>
        <v>100</v>
      </c>
      <c r="X29" s="1354"/>
      <c r="Y29" s="367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9"/>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9"/>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14" t="s">
        <v>1696</v>
      </c>
      <c r="Q32" s="1351" t="str">
        <f t="shared" si="11"/>
        <v>商业类型</v>
      </c>
      <c r="R32" s="705" t="s">
        <v>14</v>
      </c>
      <c r="S32" s="706">
        <f t="shared" si="12"/>
        <v>100</v>
      </c>
      <c r="T32" s="705" t="s">
        <v>14</v>
      </c>
      <c r="U32" s="706">
        <f t="shared" si="13"/>
        <v>100</v>
      </c>
      <c r="V32" s="705" t="s">
        <v>14</v>
      </c>
      <c r="W32" s="706">
        <f t="shared" si="14"/>
        <v>100</v>
      </c>
      <c r="X32" s="1354"/>
      <c r="Y32" s="368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5"/>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15"/>
      <c r="Q34" s="1351" t="str">
        <f t="shared" si="11"/>
        <v>建筑结构</v>
      </c>
      <c r="R34" s="705" t="s">
        <v>14</v>
      </c>
      <c r="S34" s="706">
        <f t="shared" si="12"/>
        <v>100</v>
      </c>
      <c r="T34" s="705" t="s">
        <v>14</v>
      </c>
      <c r="U34" s="706">
        <f t="shared" si="13"/>
        <v>100</v>
      </c>
      <c r="V34" s="705" t="s">
        <v>14</v>
      </c>
      <c r="W34" s="706">
        <f t="shared" si="14"/>
        <v>100</v>
      </c>
      <c r="X34" s="1354"/>
      <c r="Y34" s="3681"/>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15"/>
      <c r="Q35" s="1351" t="str">
        <f t="shared" si="11"/>
        <v>公共部分装修</v>
      </c>
      <c r="R35" s="705" t="s">
        <v>14</v>
      </c>
      <c r="S35" s="706">
        <f t="shared" si="12"/>
        <v>100</v>
      </c>
      <c r="T35" s="705" t="s">
        <v>14</v>
      </c>
      <c r="U35" s="706">
        <f t="shared" si="13"/>
        <v>100</v>
      </c>
      <c r="V35" s="705" t="s">
        <v>14</v>
      </c>
      <c r="W35" s="706">
        <f t="shared" si="14"/>
        <v>100</v>
      </c>
      <c r="X35" s="1354"/>
      <c r="Y35" s="368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5"/>
      <c r="Q36" s="1351" t="str">
        <f t="shared" si="11"/>
        <v>成新度</v>
      </c>
      <c r="R36" s="705" t="s">
        <v>14</v>
      </c>
      <c r="S36" s="706" t="e">
        <f t="shared" si="12"/>
        <v>#N/A</v>
      </c>
      <c r="T36" s="705" t="s">
        <v>14</v>
      </c>
      <c r="U36" s="706" t="e">
        <f t="shared" si="13"/>
        <v>#N/A</v>
      </c>
      <c r="V36" s="705" t="s">
        <v>14</v>
      </c>
      <c r="W36" s="706" t="e">
        <f t="shared" si="14"/>
        <v>#N/A</v>
      </c>
      <c r="X36" s="1354"/>
      <c r="Y36" s="3681"/>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15"/>
      <c r="Q37" s="1342"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15" t="s">
        <v>1696</v>
      </c>
      <c r="Q38" s="1351" t="str">
        <f t="shared" si="11"/>
        <v>业态</v>
      </c>
      <c r="R38" s="705" t="s">
        <v>14</v>
      </c>
      <c r="S38" s="706">
        <f t="shared" si="12"/>
        <v>100</v>
      </c>
      <c r="T38" s="705" t="s">
        <v>14</v>
      </c>
      <c r="U38" s="706">
        <f t="shared" si="13"/>
        <v>100</v>
      </c>
      <c r="V38" s="705" t="s">
        <v>14</v>
      </c>
      <c r="W38" s="706">
        <f t="shared" si="14"/>
        <v>100</v>
      </c>
      <c r="X38" s="1354"/>
      <c r="Y38" s="3681"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15"/>
      <c r="Q39" s="1351" t="str">
        <f t="shared" si="11"/>
        <v>层高</v>
      </c>
      <c r="R39" s="705" t="s">
        <v>14</v>
      </c>
      <c r="S39" s="706">
        <f t="shared" si="12"/>
        <v>100</v>
      </c>
      <c r="T39" s="705" t="s">
        <v>14</v>
      </c>
      <c r="U39" s="706">
        <f t="shared" si="13"/>
        <v>100</v>
      </c>
      <c r="V39" s="705" t="s">
        <v>14</v>
      </c>
      <c r="W39" s="706">
        <f t="shared" si="14"/>
        <v>100</v>
      </c>
      <c r="X39" s="1354"/>
      <c r="Y39" s="368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5"/>
      <c r="Q40" s="1351" t="str">
        <f t="shared" si="11"/>
        <v>单套建筑面积</v>
      </c>
      <c r="R40" s="705" t="s">
        <v>14</v>
      </c>
      <c r="S40" s="706">
        <f t="shared" si="12"/>
        <v>100</v>
      </c>
      <c r="T40" s="705" t="s">
        <v>14</v>
      </c>
      <c r="U40" s="706">
        <f t="shared" si="13"/>
        <v>100</v>
      </c>
      <c r="V40" s="705" t="s">
        <v>14</v>
      </c>
      <c r="W40" s="706">
        <f t="shared" si="14"/>
        <v>100</v>
      </c>
      <c r="X40" s="1354"/>
      <c r="Y40" s="368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5"/>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15"/>
      <c r="Q42" s="1351" t="str">
        <f t="shared" si="11"/>
        <v>内部装修</v>
      </c>
      <c r="R42" s="705" t="s">
        <v>14</v>
      </c>
      <c r="S42" s="706">
        <f t="shared" si="12"/>
        <v>100</v>
      </c>
      <c r="T42" s="705" t="s">
        <v>14</v>
      </c>
      <c r="U42" s="706">
        <f t="shared" si="13"/>
        <v>100</v>
      </c>
      <c r="V42" s="705" t="s">
        <v>14</v>
      </c>
      <c r="W42" s="706">
        <f t="shared" si="14"/>
        <v>100</v>
      </c>
      <c r="X42" s="1354"/>
      <c r="Y42" s="3681"/>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15"/>
      <c r="Q43" s="1351" t="str">
        <f t="shared" si="11"/>
        <v>内部装修维护情况</v>
      </c>
      <c r="R43" s="705" t="s">
        <v>14</v>
      </c>
      <c r="S43" s="706">
        <f t="shared" si="12"/>
        <v>100</v>
      </c>
      <c r="T43" s="705" t="s">
        <v>14</v>
      </c>
      <c r="U43" s="706">
        <f t="shared" si="13"/>
        <v>100</v>
      </c>
      <c r="V43" s="705" t="s">
        <v>14</v>
      </c>
      <c r="W43" s="706">
        <f t="shared" si="14"/>
        <v>100</v>
      </c>
      <c r="X43" s="1354"/>
      <c r="Y43" s="368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5"/>
      <c r="Q44" s="1342">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5"/>
      <c r="Q45" s="1351">
        <f t="shared" si="11"/>
        <v>111</v>
      </c>
      <c r="R45" s="705" t="s">
        <v>14</v>
      </c>
      <c r="S45" s="706">
        <f t="shared" si="12"/>
        <v>100</v>
      </c>
      <c r="T45" s="705" t="s">
        <v>14</v>
      </c>
      <c r="U45" s="706">
        <f t="shared" si="13"/>
        <v>100</v>
      </c>
      <c r="V45" s="705" t="s">
        <v>14</v>
      </c>
      <c r="W45" s="706">
        <f t="shared" si="14"/>
        <v>100</v>
      </c>
      <c r="X45" s="1354"/>
      <c r="Y45" s="3681"/>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6"/>
      <c r="Q46" s="1351">
        <f t="shared" si="11"/>
        <v>111</v>
      </c>
      <c r="R46" s="705" t="s">
        <v>14</v>
      </c>
      <c r="S46" s="706">
        <f t="shared" si="12"/>
        <v>100</v>
      </c>
      <c r="T46" s="705" t="s">
        <v>14</v>
      </c>
      <c r="U46" s="706">
        <f t="shared" si="13"/>
        <v>100</v>
      </c>
      <c r="V46" s="705" t="s">
        <v>14</v>
      </c>
      <c r="W46" s="706">
        <f t="shared" si="14"/>
        <v>100</v>
      </c>
      <c r="X46" s="1354"/>
      <c r="Y46" s="371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77" t="str">
        <f>A47</f>
        <v>成交单价（元/平方米）</v>
      </c>
      <c r="Q47" s="3677"/>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677" t="str">
        <f>A48</f>
        <v>比较价值（元/平方米）</v>
      </c>
      <c r="Q48" s="3677"/>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71" t="str">
        <f>A49</f>
        <v>估价对象XX用房的比较价值（楼面单价，元/平方米）</v>
      </c>
      <c r="Q49" s="3672"/>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44954.17</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4" t="s">
        <v>1770</v>
      </c>
      <c r="D4" s="3686"/>
      <c r="E4" s="3687" t="s">
        <v>1771</v>
      </c>
      <c r="F4" s="3688"/>
      <c r="G4" s="3674" t="s">
        <v>1772</v>
      </c>
      <c r="H4" s="3686"/>
      <c r="I4" s="3674" t="s">
        <v>1773</v>
      </c>
      <c r="J4" s="3686"/>
      <c r="K4" s="559" t="s">
        <v>1774</v>
      </c>
      <c r="L4" s="2711"/>
      <c r="M4" s="2712"/>
      <c r="N4" s="2712"/>
      <c r="O4" s="2712"/>
      <c r="P4" s="3752" t="s">
        <v>1775</v>
      </c>
      <c r="Q4" s="3753"/>
      <c r="R4" s="3756" t="s">
        <v>1771</v>
      </c>
      <c r="S4" s="3757"/>
      <c r="T4" s="3756" t="s">
        <v>1772</v>
      </c>
      <c r="U4" s="3757"/>
      <c r="V4" s="3758" t="s">
        <v>1773</v>
      </c>
      <c r="W4" s="3758"/>
      <c r="X4" s="1954"/>
      <c r="Y4" s="3756" t="s">
        <v>1775</v>
      </c>
      <c r="Z4" s="3757"/>
      <c r="AA4" s="3760" t="s">
        <v>1771</v>
      </c>
      <c r="AB4" s="3760" t="s">
        <v>1772</v>
      </c>
      <c r="AC4" s="3749" t="s">
        <v>1773</v>
      </c>
    </row>
    <row r="5" spans="1:29" ht="15">
      <c r="A5" s="358"/>
      <c r="B5" s="359"/>
      <c r="C5" s="3703" t="s">
        <v>1673</v>
      </c>
      <c r="D5" s="3704"/>
      <c r="E5" s="3710" t="s">
        <v>1674</v>
      </c>
      <c r="F5" s="3711"/>
      <c r="G5" s="3703" t="s">
        <v>1675</v>
      </c>
      <c r="H5" s="3704"/>
      <c r="I5" s="3703" t="s">
        <v>1676</v>
      </c>
      <c r="J5" s="3704"/>
      <c r="K5" s="559"/>
      <c r="L5" s="2711"/>
      <c r="M5" s="2712"/>
      <c r="N5" s="2712"/>
      <c r="O5" s="2712"/>
      <c r="P5" s="3754"/>
      <c r="Q5" s="3692"/>
      <c r="R5" s="3697"/>
      <c r="S5" s="3698"/>
      <c r="T5" s="3697"/>
      <c r="U5" s="3698"/>
      <c r="V5" s="3682"/>
      <c r="W5" s="3682"/>
      <c r="X5" s="1354"/>
      <c r="Y5" s="3697"/>
      <c r="Z5" s="3698"/>
      <c r="AA5" s="3684"/>
      <c r="AB5" s="3684"/>
      <c r="AC5" s="3750"/>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755"/>
      <c r="Q6" s="3694"/>
      <c r="R6" s="3697"/>
      <c r="S6" s="3698"/>
      <c r="T6" s="3699"/>
      <c r="U6" s="3700"/>
      <c r="V6" s="3682"/>
      <c r="W6" s="3682"/>
      <c r="X6" s="1354"/>
      <c r="Y6" s="3699"/>
      <c r="Z6" s="3700"/>
      <c r="AA6" s="3685"/>
      <c r="AB6" s="3685"/>
      <c r="AC6" s="3751"/>
    </row>
    <row r="7" spans="1:29" s="108" customFormat="1" ht="15.75" thickBot="1">
      <c r="A7" s="362" t="s">
        <v>1679</v>
      </c>
      <c r="B7" s="363"/>
      <c r="C7" s="364">
        <f>'数据-取费表'!B2</f>
        <v>45132</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9"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9"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6"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6"/>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6"/>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76"/>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76"/>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76"/>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8" t="s">
        <v>1691</v>
      </c>
      <c r="Q15" s="1351" t="str">
        <f t="shared" si="6"/>
        <v>办公集聚程度</v>
      </c>
      <c r="R15" s="705" t="s">
        <v>14</v>
      </c>
      <c r="S15" s="706">
        <f t="shared" si="0"/>
        <v>100</v>
      </c>
      <c r="T15" s="705" t="s">
        <v>14</v>
      </c>
      <c r="U15" s="706">
        <f t="shared" si="1"/>
        <v>100</v>
      </c>
      <c r="V15" s="705" t="s">
        <v>14</v>
      </c>
      <c r="W15" s="706">
        <f t="shared" si="2"/>
        <v>100</v>
      </c>
      <c r="X15" s="1354"/>
      <c r="Y15" s="3678"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19"/>
      <c r="Q16" s="1351"/>
      <c r="R16" s="705"/>
      <c r="S16" s="706"/>
      <c r="T16" s="705"/>
      <c r="U16" s="706"/>
      <c r="V16" s="705"/>
      <c r="W16" s="706"/>
      <c r="X16" s="1354"/>
      <c r="Y16" s="3679"/>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19"/>
      <c r="Q18" s="1351"/>
      <c r="R18" s="705"/>
      <c r="S18" s="706"/>
      <c r="T18" s="705"/>
      <c r="U18" s="706"/>
      <c r="V18" s="705"/>
      <c r="W18" s="706"/>
      <c r="X18" s="1354"/>
      <c r="Y18" s="3679"/>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19"/>
      <c r="Q20" s="1351"/>
      <c r="R20" s="705"/>
      <c r="S20" s="706"/>
      <c r="T20" s="705"/>
      <c r="U20" s="706"/>
      <c r="V20" s="705"/>
      <c r="W20" s="706"/>
      <c r="X20" s="1354"/>
      <c r="Y20" s="3679"/>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19"/>
      <c r="Q22" s="1351"/>
      <c r="R22" s="705"/>
      <c r="S22" s="706"/>
      <c r="T22" s="705"/>
      <c r="U22" s="706"/>
      <c r="V22" s="705"/>
      <c r="W22" s="706"/>
      <c r="X22" s="1354"/>
      <c r="Y22" s="3679"/>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9"/>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19"/>
      <c r="Q24" s="1351"/>
      <c r="R24" s="705"/>
      <c r="S24" s="706"/>
      <c r="T24" s="705"/>
      <c r="U24" s="706"/>
      <c r="V24" s="705"/>
      <c r="W24" s="706"/>
      <c r="X24" s="1354"/>
      <c r="Y24" s="3679"/>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19"/>
      <c r="Q25" s="1351" t="str">
        <f>B25</f>
        <v>毗邻道路的类型与等级</v>
      </c>
      <c r="R25" s="705" t="s">
        <v>14</v>
      </c>
      <c r="S25" s="706">
        <f>F25</f>
        <v>100</v>
      </c>
      <c r="T25" s="705" t="s">
        <v>14</v>
      </c>
      <c r="U25" s="706">
        <f>H25</f>
        <v>100</v>
      </c>
      <c r="V25" s="705" t="s">
        <v>14</v>
      </c>
      <c r="W25" s="706">
        <f>J25</f>
        <v>100</v>
      </c>
      <c r="X25" s="1354"/>
      <c r="Y25" s="3679"/>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19"/>
      <c r="Q26" s="1351"/>
      <c r="R26" s="705"/>
      <c r="S26" s="706"/>
      <c r="T26" s="705"/>
      <c r="U26" s="706"/>
      <c r="V26" s="705"/>
      <c r="W26" s="706"/>
      <c r="X26" s="1354"/>
      <c r="Y26" s="3679"/>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9"/>
      <c r="Q27" s="1351" t="str">
        <f t="shared" ref="Q27:Q47" si="11">B27</f>
        <v>楼层</v>
      </c>
      <c r="R27" s="705" t="s">
        <v>14</v>
      </c>
      <c r="S27" s="706">
        <f>F27</f>
        <v>100</v>
      </c>
      <c r="T27" s="705" t="s">
        <v>14</v>
      </c>
      <c r="U27" s="706">
        <f>H27</f>
        <v>100</v>
      </c>
      <c r="V27" s="705" t="s">
        <v>14</v>
      </c>
      <c r="W27" s="706">
        <f>J27</f>
        <v>100</v>
      </c>
      <c r="X27" s="1354"/>
      <c r="Y27" s="3679"/>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9"/>
      <c r="Q28" s="1342" t="str">
        <f t="shared" si="11"/>
        <v>朝向</v>
      </c>
      <c r="R28" s="701" t="s">
        <v>14</v>
      </c>
      <c r="S28" s="702">
        <f>F28</f>
        <v>100</v>
      </c>
      <c r="T28" s="701" t="s">
        <v>14</v>
      </c>
      <c r="U28" s="702">
        <f>H28</f>
        <v>100</v>
      </c>
      <c r="V28" s="701" t="s">
        <v>14</v>
      </c>
      <c r="W28" s="702">
        <f>J28</f>
        <v>100</v>
      </c>
      <c r="X28" s="703"/>
      <c r="Y28" s="3679"/>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9"/>
      <c r="Q29" s="1351">
        <f t="shared" si="11"/>
        <v>111</v>
      </c>
      <c r="R29" s="705" t="s">
        <v>14</v>
      </c>
      <c r="S29" s="706">
        <f t="shared" ref="S29:S47" si="12">F29</f>
        <v>100</v>
      </c>
      <c r="T29" s="705" t="s">
        <v>14</v>
      </c>
      <c r="U29" s="706">
        <f t="shared" ref="U29:U47" si="13">H29</f>
        <v>100</v>
      </c>
      <c r="V29" s="705" t="s">
        <v>14</v>
      </c>
      <c r="W29" s="706">
        <f t="shared" ref="W29:W47" si="14">J29</f>
        <v>100</v>
      </c>
      <c r="X29" s="1354"/>
      <c r="Y29" s="3679"/>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9"/>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9"/>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9"/>
      <c r="Q32" s="1351">
        <f t="shared" si="11"/>
        <v>111</v>
      </c>
      <c r="R32" s="705" t="s">
        <v>14</v>
      </c>
      <c r="S32" s="706">
        <f t="shared" si="12"/>
        <v>100</v>
      </c>
      <c r="T32" s="705" t="s">
        <v>14</v>
      </c>
      <c r="U32" s="706">
        <f t="shared" si="13"/>
        <v>100</v>
      </c>
      <c r="V32" s="705" t="s">
        <v>14</v>
      </c>
      <c r="W32" s="706">
        <f t="shared" si="14"/>
        <v>100</v>
      </c>
      <c r="X32" s="1354"/>
      <c r="Y32" s="3679"/>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4" t="s">
        <v>1696</v>
      </c>
      <c r="Q33" s="1351" t="str">
        <f t="shared" si="11"/>
        <v>建筑类型</v>
      </c>
      <c r="R33" s="705" t="s">
        <v>14</v>
      </c>
      <c r="S33" s="706">
        <f t="shared" si="12"/>
        <v>100</v>
      </c>
      <c r="T33" s="705" t="s">
        <v>14</v>
      </c>
      <c r="U33" s="706">
        <f t="shared" si="13"/>
        <v>100</v>
      </c>
      <c r="V33" s="705" t="s">
        <v>14</v>
      </c>
      <c r="W33" s="706">
        <f t="shared" si="14"/>
        <v>100</v>
      </c>
      <c r="X33" s="1354"/>
      <c r="Y33" s="3681"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5"/>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5"/>
      <c r="Q35" s="1351" t="str">
        <f t="shared" si="11"/>
        <v>建筑结构</v>
      </c>
      <c r="R35" s="705" t="s">
        <v>14</v>
      </c>
      <c r="S35" s="706">
        <f t="shared" si="12"/>
        <v>100</v>
      </c>
      <c r="T35" s="705" t="s">
        <v>14</v>
      </c>
      <c r="U35" s="706">
        <f t="shared" si="13"/>
        <v>100</v>
      </c>
      <c r="V35" s="705" t="s">
        <v>14</v>
      </c>
      <c r="W35" s="706">
        <f t="shared" si="14"/>
        <v>100</v>
      </c>
      <c r="X35" s="1354"/>
      <c r="Y35" s="3681"/>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5"/>
      <c r="Q36" s="1351" t="str">
        <f t="shared" si="11"/>
        <v>公共部分装修</v>
      </c>
      <c r="R36" s="705" t="s">
        <v>14</v>
      </c>
      <c r="S36" s="706">
        <f t="shared" si="12"/>
        <v>100</v>
      </c>
      <c r="T36" s="705" t="s">
        <v>14</v>
      </c>
      <c r="U36" s="706">
        <f t="shared" si="13"/>
        <v>100</v>
      </c>
      <c r="V36" s="705" t="s">
        <v>14</v>
      </c>
      <c r="W36" s="706">
        <f t="shared" si="14"/>
        <v>100</v>
      </c>
      <c r="X36" s="1354"/>
      <c r="Y36" s="3681"/>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5"/>
      <c r="Q37" s="1351" t="str">
        <f t="shared" si="11"/>
        <v>成新度</v>
      </c>
      <c r="R37" s="705" t="s">
        <v>14</v>
      </c>
      <c r="S37" s="706" t="e">
        <f t="shared" si="12"/>
        <v>#N/A</v>
      </c>
      <c r="T37" s="705" t="s">
        <v>14</v>
      </c>
      <c r="U37" s="706" t="e">
        <f t="shared" si="13"/>
        <v>#N/A</v>
      </c>
      <c r="V37" s="705" t="s">
        <v>14</v>
      </c>
      <c r="W37" s="706" t="e">
        <f t="shared" si="14"/>
        <v>#N/A</v>
      </c>
      <c r="X37" s="1354"/>
      <c r="Y37" s="3681"/>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5"/>
      <c r="Q38" s="1342"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5" t="s">
        <v>1696</v>
      </c>
      <c r="Q39" s="1351" t="str">
        <f t="shared" si="11"/>
        <v>物业管理</v>
      </c>
      <c r="R39" s="705" t="s">
        <v>14</v>
      </c>
      <c r="S39" s="706">
        <f t="shared" si="12"/>
        <v>100</v>
      </c>
      <c r="T39" s="705" t="s">
        <v>14</v>
      </c>
      <c r="U39" s="706">
        <f t="shared" si="13"/>
        <v>100</v>
      </c>
      <c r="V39" s="705" t="s">
        <v>14</v>
      </c>
      <c r="W39" s="706">
        <f t="shared" si="14"/>
        <v>100</v>
      </c>
      <c r="X39" s="1354"/>
      <c r="Y39" s="3681"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5"/>
      <c r="Q40" s="1351" t="str">
        <f t="shared" si="11"/>
        <v>市政基础设施</v>
      </c>
      <c r="R40" s="705" t="s">
        <v>14</v>
      </c>
      <c r="S40" s="706">
        <f t="shared" si="12"/>
        <v>100</v>
      </c>
      <c r="T40" s="705" t="s">
        <v>14</v>
      </c>
      <c r="U40" s="706">
        <f t="shared" si="13"/>
        <v>100</v>
      </c>
      <c r="V40" s="705" t="s">
        <v>14</v>
      </c>
      <c r="W40" s="706">
        <f t="shared" si="14"/>
        <v>100</v>
      </c>
      <c r="X40" s="1354"/>
      <c r="Y40" s="3681"/>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5"/>
      <c r="Q41" s="1351" t="str">
        <f t="shared" si="11"/>
        <v>层高</v>
      </c>
      <c r="R41" s="705" t="s">
        <v>14</v>
      </c>
      <c r="S41" s="706">
        <f t="shared" si="12"/>
        <v>100</v>
      </c>
      <c r="T41" s="705" t="s">
        <v>14</v>
      </c>
      <c r="U41" s="706">
        <f t="shared" si="13"/>
        <v>100</v>
      </c>
      <c r="V41" s="705" t="s">
        <v>14</v>
      </c>
      <c r="W41" s="706">
        <f t="shared" si="14"/>
        <v>100</v>
      </c>
      <c r="X41" s="1354"/>
      <c r="Y41" s="3681"/>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5"/>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5"/>
      <c r="Q43" s="1351" t="str">
        <f t="shared" si="11"/>
        <v>内部装修</v>
      </c>
      <c r="R43" s="705" t="s">
        <v>14</v>
      </c>
      <c r="S43" s="706">
        <f t="shared" si="12"/>
        <v>100</v>
      </c>
      <c r="T43" s="705" t="s">
        <v>14</v>
      </c>
      <c r="U43" s="706">
        <f t="shared" si="13"/>
        <v>100</v>
      </c>
      <c r="V43" s="705" t="s">
        <v>14</v>
      </c>
      <c r="W43" s="706">
        <f t="shared" si="14"/>
        <v>100</v>
      </c>
      <c r="X43" s="1354"/>
      <c r="Y43" s="3681"/>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15"/>
      <c r="Q44" s="1351" t="str">
        <f t="shared" si="11"/>
        <v>内部装修维护情况</v>
      </c>
      <c r="R44" s="705" t="s">
        <v>14</v>
      </c>
      <c r="S44" s="706">
        <f t="shared" si="12"/>
        <v>100</v>
      </c>
      <c r="T44" s="705" t="s">
        <v>14</v>
      </c>
      <c r="U44" s="706">
        <f t="shared" si="13"/>
        <v>100</v>
      </c>
      <c r="V44" s="705" t="s">
        <v>14</v>
      </c>
      <c r="W44" s="706">
        <f t="shared" si="14"/>
        <v>100</v>
      </c>
      <c r="X44" s="1354"/>
      <c r="Y44" s="3681"/>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5"/>
      <c r="Q45" s="1342">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5"/>
      <c r="Q46" s="1351">
        <f t="shared" si="11"/>
        <v>111</v>
      </c>
      <c r="R46" s="705" t="s">
        <v>14</v>
      </c>
      <c r="S46" s="706">
        <f t="shared" si="12"/>
        <v>100</v>
      </c>
      <c r="T46" s="705" t="s">
        <v>14</v>
      </c>
      <c r="U46" s="706">
        <f t="shared" si="13"/>
        <v>100</v>
      </c>
      <c r="V46" s="705" t="s">
        <v>14</v>
      </c>
      <c r="W46" s="706">
        <f t="shared" si="14"/>
        <v>100</v>
      </c>
      <c r="X46" s="1354"/>
      <c r="Y46" s="3681"/>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6"/>
      <c r="Q47" s="1351">
        <f t="shared" si="11"/>
        <v>111</v>
      </c>
      <c r="R47" s="705" t="s">
        <v>14</v>
      </c>
      <c r="S47" s="706">
        <f t="shared" si="12"/>
        <v>100</v>
      </c>
      <c r="T47" s="705" t="s">
        <v>14</v>
      </c>
      <c r="U47" s="706">
        <f t="shared" si="13"/>
        <v>100</v>
      </c>
      <c r="V47" s="705" t="s">
        <v>14</v>
      </c>
      <c r="W47" s="706">
        <f t="shared" si="14"/>
        <v>100</v>
      </c>
      <c r="X47" s="1354"/>
      <c r="Y47" s="371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676" t="str">
        <f>A48</f>
        <v>成交单价（元/平方米）</v>
      </c>
      <c r="Q48" s="3677"/>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676" t="str">
        <f>A49</f>
        <v>比较价值（元/平方米）</v>
      </c>
      <c r="Q49" s="3677"/>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44954.17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913"/>
      <c r="M4" s="914"/>
      <c r="N4" s="914"/>
      <c r="O4" s="914"/>
      <c r="P4" s="3689" t="s">
        <v>1775</v>
      </c>
      <c r="Q4" s="3690"/>
      <c r="R4" s="3695" t="s">
        <v>1771</v>
      </c>
      <c r="S4" s="3696"/>
      <c r="T4" s="3695" t="s">
        <v>1772</v>
      </c>
      <c r="U4" s="3696"/>
      <c r="V4" s="3682" t="s">
        <v>1773</v>
      </c>
      <c r="W4" s="3682"/>
      <c r="X4" s="1354"/>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913"/>
      <c r="M5" s="914"/>
      <c r="N5" s="914"/>
      <c r="O5" s="914"/>
      <c r="P5" s="3691"/>
      <c r="Q5" s="3692"/>
      <c r="R5" s="3697"/>
      <c r="S5" s="3698"/>
      <c r="T5" s="3697"/>
      <c r="U5" s="3698"/>
      <c r="V5" s="3682"/>
      <c r="W5" s="3682"/>
      <c r="X5" s="1354"/>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3"/>
      <c r="Q6" s="3694"/>
      <c r="R6" s="3697"/>
      <c r="S6" s="3698"/>
      <c r="T6" s="3699"/>
      <c r="U6" s="3700"/>
      <c r="V6" s="3682"/>
      <c r="W6" s="3682"/>
      <c r="X6" s="1354"/>
      <c r="Y6" s="3699"/>
      <c r="Z6" s="3700"/>
      <c r="AA6" s="3685"/>
      <c r="AB6" s="3685"/>
      <c r="AC6" s="3685"/>
    </row>
    <row r="7" spans="1:29" s="108" customFormat="1" ht="15.75" thickBot="1">
      <c r="A7" s="362" t="s">
        <v>1679</v>
      </c>
      <c r="B7" s="363"/>
      <c r="C7" s="364">
        <f>'数据-取费表'!B2</f>
        <v>45132</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77"/>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2"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77"/>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77"/>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77"/>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9"/>
      <c r="Q16" s="1351"/>
      <c r="R16" s="705"/>
      <c r="S16" s="706"/>
      <c r="T16" s="705"/>
      <c r="U16" s="706"/>
      <c r="V16" s="705"/>
      <c r="W16" s="706"/>
      <c r="X16" s="1354"/>
      <c r="Y16" s="3679"/>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79"/>
      <c r="Q18" s="1351"/>
      <c r="R18" s="705"/>
      <c r="S18" s="706"/>
      <c r="T18" s="705"/>
      <c r="U18" s="706"/>
      <c r="V18" s="705"/>
      <c r="W18" s="706"/>
      <c r="X18" s="1354"/>
      <c r="Y18" s="3679"/>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79"/>
      <c r="Q20" s="1351"/>
      <c r="R20" s="705"/>
      <c r="S20" s="706"/>
      <c r="T20" s="705"/>
      <c r="U20" s="706"/>
      <c r="V20" s="705"/>
      <c r="W20" s="706"/>
      <c r="X20" s="1354"/>
      <c r="Y20" s="3679"/>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79"/>
      <c r="Q22" s="1351"/>
      <c r="R22" s="705"/>
      <c r="S22" s="706"/>
      <c r="T22" s="705"/>
      <c r="U22" s="706"/>
      <c r="V22" s="705"/>
      <c r="W22" s="706"/>
      <c r="X22" s="1354"/>
      <c r="Y22" s="3679"/>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79"/>
      <c r="Q24" s="1351"/>
      <c r="R24" s="705"/>
      <c r="S24" s="706"/>
      <c r="T24" s="705"/>
      <c r="U24" s="706"/>
      <c r="V24" s="705"/>
      <c r="W24" s="706"/>
      <c r="X24" s="1354"/>
      <c r="Y24" s="367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1">
        <f>B25</f>
        <v>111</v>
      </c>
      <c r="R25" s="705" t="s">
        <v>14</v>
      </c>
      <c r="S25" s="706">
        <f>F25</f>
        <v>100</v>
      </c>
      <c r="T25" s="705" t="s">
        <v>14</v>
      </c>
      <c r="U25" s="706">
        <f>H25</f>
        <v>100</v>
      </c>
      <c r="V25" s="705" t="s">
        <v>14</v>
      </c>
      <c r="W25" s="706">
        <f>J25</f>
        <v>100</v>
      </c>
      <c r="X25" s="1354"/>
      <c r="Y25" s="367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1">
        <f t="shared" ref="Q26:Q40" si="11">B26</f>
        <v>111</v>
      </c>
      <c r="R26" s="705" t="s">
        <v>14</v>
      </c>
      <c r="S26" s="706">
        <f>F26</f>
        <v>100</v>
      </c>
      <c r="T26" s="705" t="s">
        <v>14</v>
      </c>
      <c r="U26" s="706">
        <f>H26</f>
        <v>100</v>
      </c>
      <c r="V26" s="705" t="s">
        <v>14</v>
      </c>
      <c r="W26" s="706">
        <f>J26</f>
        <v>100</v>
      </c>
      <c r="X26" s="1354"/>
      <c r="Y26" s="367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2">
        <f t="shared" si="11"/>
        <v>111</v>
      </c>
      <c r="R27" s="701" t="s">
        <v>14</v>
      </c>
      <c r="S27" s="702">
        <f>F27</f>
        <v>100</v>
      </c>
      <c r="T27" s="701" t="s">
        <v>14</v>
      </c>
      <c r="U27" s="702">
        <f>H27</f>
        <v>100</v>
      </c>
      <c r="V27" s="701" t="s">
        <v>14</v>
      </c>
      <c r="W27" s="702">
        <f>J27</f>
        <v>100</v>
      </c>
      <c r="X27" s="703"/>
      <c r="Y27" s="367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1">
        <f t="shared" si="11"/>
        <v>111</v>
      </c>
      <c r="R28" s="705" t="s">
        <v>14</v>
      </c>
      <c r="S28" s="706">
        <f t="shared" ref="S28:S40" si="12">F28</f>
        <v>100</v>
      </c>
      <c r="T28" s="705" t="s">
        <v>14</v>
      </c>
      <c r="U28" s="706">
        <f t="shared" ref="U28:U40" si="13">H28</f>
        <v>100</v>
      </c>
      <c r="V28" s="705" t="s">
        <v>14</v>
      </c>
      <c r="W28" s="706">
        <f t="shared" ref="W28:W40" si="14">J28</f>
        <v>100</v>
      </c>
      <c r="X28" s="1354"/>
      <c r="Y28" s="3679"/>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680" t="s">
        <v>1696</v>
      </c>
      <c r="Q29" s="1351" t="str">
        <f t="shared" si="11"/>
        <v>建筑类型</v>
      </c>
      <c r="R29" s="705" t="s">
        <v>14</v>
      </c>
      <c r="S29" s="706">
        <f t="shared" si="12"/>
        <v>100</v>
      </c>
      <c r="T29" s="705" t="s">
        <v>14</v>
      </c>
      <c r="U29" s="706">
        <f t="shared" si="13"/>
        <v>100</v>
      </c>
      <c r="V29" s="705" t="s">
        <v>14</v>
      </c>
      <c r="W29" s="706">
        <f t="shared" si="14"/>
        <v>100</v>
      </c>
      <c r="X29" s="1354"/>
      <c r="Y29" s="368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1" t="str">
        <f t="shared" si="11"/>
        <v>建筑结构</v>
      </c>
      <c r="R31" s="705" t="s">
        <v>14</v>
      </c>
      <c r="S31" s="706">
        <f t="shared" si="12"/>
        <v>100</v>
      </c>
      <c r="T31" s="705" t="s">
        <v>14</v>
      </c>
      <c r="U31" s="706">
        <f t="shared" si="13"/>
        <v>100</v>
      </c>
      <c r="V31" s="705" t="s">
        <v>14</v>
      </c>
      <c r="W31" s="706">
        <f t="shared" si="14"/>
        <v>100</v>
      </c>
      <c r="X31" s="1354"/>
      <c r="Y31" s="368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1" t="str">
        <f t="shared" si="11"/>
        <v>公共部分装修</v>
      </c>
      <c r="R32" s="705" t="s">
        <v>14</v>
      </c>
      <c r="S32" s="706">
        <f t="shared" si="12"/>
        <v>100</v>
      </c>
      <c r="T32" s="705" t="s">
        <v>14</v>
      </c>
      <c r="U32" s="706">
        <f t="shared" si="13"/>
        <v>100</v>
      </c>
      <c r="V32" s="705" t="s">
        <v>14</v>
      </c>
      <c r="W32" s="706">
        <f t="shared" si="14"/>
        <v>100</v>
      </c>
      <c r="X32" s="1354"/>
      <c r="Y32" s="368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1" t="str">
        <f t="shared" si="11"/>
        <v>成新度</v>
      </c>
      <c r="R33" s="705" t="s">
        <v>14</v>
      </c>
      <c r="S33" s="706" t="e">
        <f t="shared" si="12"/>
        <v>#N/A</v>
      </c>
      <c r="T33" s="705" t="s">
        <v>14</v>
      </c>
      <c r="U33" s="706" t="e">
        <f t="shared" si="13"/>
        <v>#N/A</v>
      </c>
      <c r="V33" s="705" t="s">
        <v>14</v>
      </c>
      <c r="W33" s="706" t="e">
        <f t="shared" si="14"/>
        <v>#N/A</v>
      </c>
      <c r="X33" s="1354"/>
      <c r="Y33" s="368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2"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1" t="str">
        <f t="shared" si="11"/>
        <v>市政基础设施</v>
      </c>
      <c r="R35" s="705" t="s">
        <v>14</v>
      </c>
      <c r="S35" s="706">
        <f t="shared" si="12"/>
        <v>100</v>
      </c>
      <c r="T35" s="705" t="s">
        <v>14</v>
      </c>
      <c r="U35" s="706">
        <f t="shared" si="13"/>
        <v>100</v>
      </c>
      <c r="V35" s="705" t="s">
        <v>14</v>
      </c>
      <c r="W35" s="706">
        <f t="shared" si="14"/>
        <v>100</v>
      </c>
      <c r="X35" s="1354"/>
      <c r="Y35" s="368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1" t="str">
        <f t="shared" si="11"/>
        <v>内部装修</v>
      </c>
      <c r="R36" s="705" t="s">
        <v>14</v>
      </c>
      <c r="S36" s="706">
        <f t="shared" si="12"/>
        <v>100</v>
      </c>
      <c r="T36" s="705" t="s">
        <v>14</v>
      </c>
      <c r="U36" s="706">
        <f t="shared" si="13"/>
        <v>100</v>
      </c>
      <c r="V36" s="705" t="s">
        <v>14</v>
      </c>
      <c r="W36" s="706">
        <f t="shared" si="14"/>
        <v>100</v>
      </c>
      <c r="X36" s="1354"/>
      <c r="Y36" s="368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1" t="str">
        <f t="shared" si="11"/>
        <v>内部装修状况</v>
      </c>
      <c r="R37" s="705" t="s">
        <v>14</v>
      </c>
      <c r="S37" s="706">
        <f t="shared" si="12"/>
        <v>100</v>
      </c>
      <c r="T37" s="705" t="s">
        <v>14</v>
      </c>
      <c r="U37" s="706">
        <f t="shared" si="13"/>
        <v>100</v>
      </c>
      <c r="V37" s="705" t="s">
        <v>14</v>
      </c>
      <c r="W37" s="706">
        <f t="shared" si="14"/>
        <v>100</v>
      </c>
      <c r="X37" s="1354"/>
      <c r="Y37" s="368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1">
        <f t="shared" si="11"/>
        <v>111</v>
      </c>
      <c r="R39" s="705" t="s">
        <v>14</v>
      </c>
      <c r="S39" s="706">
        <f t="shared" si="12"/>
        <v>100</v>
      </c>
      <c r="T39" s="705" t="s">
        <v>14</v>
      </c>
      <c r="U39" s="706">
        <f t="shared" si="13"/>
        <v>100</v>
      </c>
      <c r="V39" s="705" t="s">
        <v>14</v>
      </c>
      <c r="W39" s="706">
        <f t="shared" si="14"/>
        <v>100</v>
      </c>
      <c r="X39" s="1354"/>
      <c r="Y39" s="3681"/>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1">
        <f t="shared" si="11"/>
        <v>111</v>
      </c>
      <c r="R40" s="705" t="s">
        <v>14</v>
      </c>
      <c r="S40" s="706">
        <f t="shared" si="12"/>
        <v>100</v>
      </c>
      <c r="T40" s="705" t="s">
        <v>14</v>
      </c>
      <c r="U40" s="706">
        <f t="shared" si="13"/>
        <v>100</v>
      </c>
      <c r="V40" s="705" t="s">
        <v>14</v>
      </c>
      <c r="W40" s="706">
        <f t="shared" si="14"/>
        <v>100</v>
      </c>
      <c r="X40" s="1354"/>
      <c r="Y40" s="371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77" t="str">
        <f>A42</f>
        <v>比较价值（元/平方米）</v>
      </c>
      <c r="Q42" s="3677"/>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1"/>
      <c r="M4" s="2712"/>
      <c r="N4" s="2712"/>
      <c r="O4" s="2712"/>
      <c r="P4" s="3689" t="s">
        <v>1775</v>
      </c>
      <c r="Q4" s="3690"/>
      <c r="R4" s="3695" t="s">
        <v>1771</v>
      </c>
      <c r="S4" s="3696"/>
      <c r="T4" s="3695" t="s">
        <v>1772</v>
      </c>
      <c r="U4" s="3696"/>
      <c r="V4" s="3682" t="s">
        <v>1773</v>
      </c>
      <c r="W4" s="3682"/>
      <c r="X4" s="1354"/>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2"/>
      <c r="W5" s="3682"/>
      <c r="X5" s="1354"/>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2"/>
      <c r="W6" s="3682"/>
      <c r="X6" s="1354"/>
      <c r="Y6" s="3699"/>
      <c r="Z6" s="3700"/>
      <c r="AA6" s="3685"/>
      <c r="AB6" s="3685"/>
      <c r="AC6" s="3685"/>
    </row>
    <row r="7" spans="1:29" s="108" customFormat="1" ht="15.75" thickBot="1">
      <c r="A7" s="362" t="s">
        <v>1679</v>
      </c>
      <c r="B7" s="363"/>
      <c r="C7" s="364">
        <f>'数据-取费表'!B2</f>
        <v>45132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77"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77"/>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77"/>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77"/>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77"/>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79"/>
      <c r="Q15" s="1351"/>
      <c r="R15" s="705"/>
      <c r="S15" s="706"/>
      <c r="T15" s="705"/>
      <c r="U15" s="706"/>
      <c r="V15" s="705"/>
      <c r="W15" s="706"/>
      <c r="X15" s="1354"/>
      <c r="Y15" s="3679"/>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679"/>
      <c r="Q17" s="1351"/>
      <c r="R17" s="705"/>
      <c r="S17" s="706"/>
      <c r="T17" s="705"/>
      <c r="U17" s="706"/>
      <c r="V17" s="705"/>
      <c r="W17" s="706"/>
      <c r="X17" s="1354"/>
      <c r="Y17" s="3679"/>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679"/>
      <c r="Q19" s="1351"/>
      <c r="R19" s="705"/>
      <c r="S19" s="706"/>
      <c r="T19" s="705"/>
      <c r="U19" s="706"/>
      <c r="V19" s="705"/>
      <c r="W19" s="706"/>
      <c r="X19" s="1354"/>
      <c r="Y19" s="3679"/>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79"/>
      <c r="Q21" s="1351"/>
      <c r="R21" s="705"/>
      <c r="S21" s="706"/>
      <c r="T21" s="705"/>
      <c r="U21" s="706"/>
      <c r="V21" s="705"/>
      <c r="W21" s="706"/>
      <c r="X21" s="1354"/>
      <c r="Y21" s="367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9"/>
      <c r="Q24" s="1351">
        <f t="shared" ref="Q24:Q36"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68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1"/>
      <c r="Q28" s="1351" t="str">
        <f t="shared" si="11"/>
        <v>公共部分装修</v>
      </c>
      <c r="R28" s="705" t="s">
        <v>14</v>
      </c>
      <c r="S28" s="706">
        <f t="shared" si="12"/>
        <v>100</v>
      </c>
      <c r="T28" s="705" t="s">
        <v>14</v>
      </c>
      <c r="U28" s="706">
        <f t="shared" si="13"/>
        <v>100</v>
      </c>
      <c r="V28" s="705" t="s">
        <v>14</v>
      </c>
      <c r="W28" s="706">
        <f t="shared" si="14"/>
        <v>100</v>
      </c>
      <c r="X28" s="1354"/>
      <c r="Y28" s="368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1"/>
      <c r="Q29" s="1351" t="str">
        <f t="shared" si="11"/>
        <v>成新率</v>
      </c>
      <c r="R29" s="705" t="s">
        <v>14</v>
      </c>
      <c r="S29" s="706" t="e">
        <f t="shared" si="12"/>
        <v>#N/A</v>
      </c>
      <c r="T29" s="705" t="s">
        <v>14</v>
      </c>
      <c r="U29" s="706" t="e">
        <f t="shared" si="13"/>
        <v>#N/A</v>
      </c>
      <c r="V29" s="705" t="s">
        <v>14</v>
      </c>
      <c r="W29" s="706" t="e">
        <f t="shared" si="14"/>
        <v>#N/A</v>
      </c>
      <c r="X29" s="1354"/>
      <c r="Y29" s="368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1"/>
      <c r="Q30" s="1351" t="str">
        <f t="shared" si="11"/>
        <v>物业等级</v>
      </c>
      <c r="R30" s="705" t="s">
        <v>14</v>
      </c>
      <c r="S30" s="706">
        <f t="shared" si="12"/>
        <v>100</v>
      </c>
      <c r="T30" s="705" t="s">
        <v>14</v>
      </c>
      <c r="U30" s="706">
        <f t="shared" si="13"/>
        <v>100</v>
      </c>
      <c r="V30" s="705" t="s">
        <v>14</v>
      </c>
      <c r="W30" s="706">
        <f t="shared" si="14"/>
        <v>100</v>
      </c>
      <c r="X30" s="1354"/>
      <c r="Y30" s="368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1"/>
      <c r="Q31" s="1342"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1" t="s">
        <v>1696</v>
      </c>
      <c r="Q32" s="1351" t="str">
        <f t="shared" si="11"/>
        <v>车位类型</v>
      </c>
      <c r="R32" s="705" t="s">
        <v>14</v>
      </c>
      <c r="S32" s="706">
        <f t="shared" si="12"/>
        <v>100</v>
      </c>
      <c r="T32" s="705" t="s">
        <v>14</v>
      </c>
      <c r="U32" s="706">
        <f t="shared" si="13"/>
        <v>100</v>
      </c>
      <c r="V32" s="705" t="s">
        <v>14</v>
      </c>
      <c r="W32" s="706">
        <f t="shared" si="14"/>
        <v>100</v>
      </c>
      <c r="X32" s="1354"/>
      <c r="Y32" s="368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1"/>
      <c r="Q33" s="1351" t="str">
        <f t="shared" si="11"/>
        <v>是否直接入户</v>
      </c>
      <c r="R33" s="705" t="s">
        <v>14</v>
      </c>
      <c r="S33" s="706">
        <f t="shared" si="12"/>
        <v>100</v>
      </c>
      <c r="T33" s="705" t="s">
        <v>14</v>
      </c>
      <c r="U33" s="706">
        <f t="shared" si="13"/>
        <v>100</v>
      </c>
      <c r="V33" s="705" t="s">
        <v>14</v>
      </c>
      <c r="W33" s="706">
        <f t="shared" si="14"/>
        <v>100</v>
      </c>
      <c r="X33" s="1354"/>
      <c r="Y33" s="368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1"/>
      <c r="Q36" s="1351">
        <f t="shared" si="11"/>
        <v>111</v>
      </c>
      <c r="R36" s="705" t="s">
        <v>14</v>
      </c>
      <c r="S36" s="706">
        <f t="shared" si="12"/>
        <v>100</v>
      </c>
      <c r="T36" s="705" t="s">
        <v>14</v>
      </c>
      <c r="U36" s="706">
        <f t="shared" si="13"/>
        <v>100</v>
      </c>
      <c r="V36" s="705" t="s">
        <v>14</v>
      </c>
      <c r="W36" s="706">
        <f t="shared" si="14"/>
        <v>100</v>
      </c>
      <c r="X36" s="1354"/>
      <c r="Y36" s="3681"/>
      <c r="Z36" s="1355">
        <f t="shared" si="15"/>
        <v>111</v>
      </c>
      <c r="AA36" s="1352">
        <f t="shared" si="3"/>
        <v>1</v>
      </c>
      <c r="AB36" s="1352">
        <f t="shared" si="4"/>
        <v>1</v>
      </c>
      <c r="AC36" s="1352">
        <f t="shared" si="5"/>
        <v>1</v>
      </c>
    </row>
    <row r="37" spans="1:29" ht="15">
      <c r="A37" s="430" t="s">
        <v>1844</v>
      </c>
      <c r="B37" s="1969" t="s">
        <v>3360</v>
      </c>
      <c r="C37" s="1154" t="s">
        <v>0</v>
      </c>
      <c r="D37" s="1155"/>
      <c r="E37" s="1156"/>
      <c r="F37" s="1157"/>
      <c r="G37" s="1158"/>
      <c r="H37" s="1159"/>
      <c r="I37" s="1156"/>
      <c r="J37" s="1159"/>
      <c r="K37" s="568"/>
      <c r="L37" s="2720"/>
      <c r="M37" s="2721"/>
      <c r="N37" s="2712"/>
      <c r="O37" s="2721"/>
      <c r="P37" s="3677" t="str">
        <f>A37</f>
        <v>成交单价</v>
      </c>
      <c r="Q37" s="3677"/>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677" t="str">
        <f>A38</f>
        <v>比较价值（元/平方米）</v>
      </c>
      <c r="Q38" s="3677"/>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71" t="str">
        <f>A39</f>
        <v>估价对象XX用房的比较价值（楼面单价，元/平方米）</v>
      </c>
      <c r="Q39" s="3672"/>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1"/>
      <c r="M4" s="2712"/>
      <c r="N4" s="2712"/>
      <c r="O4" s="2712"/>
      <c r="P4" s="3689" t="s">
        <v>1775</v>
      </c>
      <c r="Q4" s="3690"/>
      <c r="R4" s="3695" t="s">
        <v>1771</v>
      </c>
      <c r="S4" s="3696"/>
      <c r="T4" s="3695" t="s">
        <v>1772</v>
      </c>
      <c r="U4" s="3696"/>
      <c r="V4" s="3682" t="s">
        <v>1773</v>
      </c>
      <c r="W4" s="3682"/>
      <c r="X4" s="1354"/>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2"/>
      <c r="W5" s="3682"/>
      <c r="X5" s="1354"/>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2"/>
      <c r="W6" s="3682"/>
      <c r="X6" s="1354"/>
      <c r="Y6" s="3699"/>
      <c r="Z6" s="3700"/>
      <c r="AA6" s="3685"/>
      <c r="AB6" s="3685"/>
      <c r="AC6" s="3685"/>
    </row>
    <row r="7" spans="1:29" s="108" customFormat="1" ht="15.75" thickBot="1">
      <c r="A7" s="362" t="s">
        <v>1679</v>
      </c>
      <c r="B7" s="363"/>
      <c r="C7" s="364">
        <f>'数据-取费表'!B2</f>
        <v>45132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77" t="s">
        <v>1686</v>
      </c>
      <c r="Q9" s="1342"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77"/>
      <c r="Q10" s="1342"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77"/>
      <c r="Q11" s="1342">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77"/>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77"/>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79"/>
      <c r="Q15" s="1351"/>
      <c r="R15" s="705"/>
      <c r="S15" s="706"/>
      <c r="T15" s="705"/>
      <c r="U15" s="706"/>
      <c r="V15" s="705"/>
      <c r="W15" s="706"/>
      <c r="X15" s="1354"/>
      <c r="Y15" s="3679"/>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679"/>
      <c r="Q17" s="1351"/>
      <c r="R17" s="705"/>
      <c r="S17" s="706"/>
      <c r="T17" s="705"/>
      <c r="U17" s="706"/>
      <c r="V17" s="705"/>
      <c r="W17" s="706"/>
      <c r="X17" s="1354"/>
      <c r="Y17" s="3679"/>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679"/>
      <c r="Q19" s="1351"/>
      <c r="R19" s="705"/>
      <c r="S19" s="706"/>
      <c r="T19" s="705"/>
      <c r="U19" s="706"/>
      <c r="V19" s="705"/>
      <c r="W19" s="706"/>
      <c r="X19" s="1354"/>
      <c r="Y19" s="3679"/>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79"/>
      <c r="Q21" s="1351"/>
      <c r="R21" s="705"/>
      <c r="S21" s="706"/>
      <c r="T21" s="705"/>
      <c r="U21" s="706"/>
      <c r="V21" s="705"/>
      <c r="W21" s="706"/>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9"/>
      <c r="Q24" s="1351">
        <f t="shared" ref="Q24:Q34"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68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1"/>
      <c r="Q28" s="1351" t="str">
        <f t="shared" si="11"/>
        <v>物业等级</v>
      </c>
      <c r="R28" s="705" t="s">
        <v>14</v>
      </c>
      <c r="S28" s="706">
        <f t="shared" si="12"/>
        <v>100</v>
      </c>
      <c r="T28" s="705" t="s">
        <v>14</v>
      </c>
      <c r="U28" s="706">
        <f t="shared" si="13"/>
        <v>100</v>
      </c>
      <c r="V28" s="705" t="s">
        <v>14</v>
      </c>
      <c r="W28" s="706">
        <f t="shared" si="14"/>
        <v>100</v>
      </c>
      <c r="X28" s="1354"/>
      <c r="Y28" s="368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1"/>
      <c r="Q29" s="1351" t="str">
        <f t="shared" si="11"/>
        <v>有无电梯</v>
      </c>
      <c r="R29" s="705" t="s">
        <v>14</v>
      </c>
      <c r="S29" s="706">
        <f t="shared" si="12"/>
        <v>100</v>
      </c>
      <c r="T29" s="705" t="s">
        <v>14</v>
      </c>
      <c r="U29" s="706">
        <f t="shared" si="13"/>
        <v>100</v>
      </c>
      <c r="V29" s="705" t="s">
        <v>14</v>
      </c>
      <c r="W29" s="706">
        <f t="shared" si="14"/>
        <v>100</v>
      </c>
      <c r="X29" s="1354"/>
      <c r="Y29" s="368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1"/>
      <c r="Q30" s="1351" t="str">
        <f t="shared" si="11"/>
        <v>建筑面积</v>
      </c>
      <c r="R30" s="705" t="s">
        <v>14</v>
      </c>
      <c r="S30" s="706" t="e">
        <f t="shared" si="12"/>
        <v>#N/A</v>
      </c>
      <c r="T30" s="705" t="s">
        <v>14</v>
      </c>
      <c r="U30" s="706" t="e">
        <f t="shared" si="13"/>
        <v>#N/A</v>
      </c>
      <c r="V30" s="705" t="s">
        <v>14</v>
      </c>
      <c r="W30" s="706" t="e">
        <f t="shared" si="14"/>
        <v>#N/A</v>
      </c>
      <c r="X30" s="1354"/>
      <c r="Y30" s="368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1"/>
      <c r="Q31" s="1342"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1" t="s">
        <v>1696</v>
      </c>
      <c r="Q32" s="1351">
        <f t="shared" si="11"/>
        <v>111</v>
      </c>
      <c r="R32" s="705" t="s">
        <v>14</v>
      </c>
      <c r="S32" s="706">
        <f t="shared" si="12"/>
        <v>100</v>
      </c>
      <c r="T32" s="705" t="s">
        <v>14</v>
      </c>
      <c r="U32" s="706">
        <f t="shared" si="13"/>
        <v>100</v>
      </c>
      <c r="V32" s="705" t="s">
        <v>14</v>
      </c>
      <c r="W32" s="706">
        <f t="shared" si="14"/>
        <v>100</v>
      </c>
      <c r="X32" s="1354"/>
      <c r="Y32" s="3681"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1"/>
      <c r="Q33" s="1351">
        <f t="shared" si="11"/>
        <v>111</v>
      </c>
      <c r="R33" s="705" t="s">
        <v>14</v>
      </c>
      <c r="S33" s="706">
        <f t="shared" si="12"/>
        <v>100</v>
      </c>
      <c r="T33" s="705" t="s">
        <v>14</v>
      </c>
      <c r="U33" s="706">
        <f t="shared" si="13"/>
        <v>100</v>
      </c>
      <c r="V33" s="705" t="s">
        <v>14</v>
      </c>
      <c r="W33" s="706">
        <f t="shared" si="14"/>
        <v>100</v>
      </c>
      <c r="X33" s="1354"/>
      <c r="Y33" s="3681"/>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81"/>
      <c r="Q34" s="1351">
        <f t="shared" si="11"/>
        <v>111</v>
      </c>
      <c r="R34" s="705" t="s">
        <v>14</v>
      </c>
      <c r="S34" s="706">
        <f t="shared" si="12"/>
        <v>100</v>
      </c>
      <c r="T34" s="705" t="s">
        <v>14</v>
      </c>
      <c r="U34" s="706">
        <f t="shared" si="13"/>
        <v>100</v>
      </c>
      <c r="V34" s="705" t="s">
        <v>14</v>
      </c>
      <c r="W34" s="706">
        <f t="shared" si="14"/>
        <v>100</v>
      </c>
      <c r="X34" s="1354"/>
      <c r="Y34" s="368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77" t="str">
        <f>A35</f>
        <v>成交单价（元/平方米）</v>
      </c>
      <c r="Q35" s="3677"/>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677" t="str">
        <f>A36</f>
        <v>比较价值（元/平方米）</v>
      </c>
      <c r="Q36" s="3677"/>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71" t="str">
        <f>A37</f>
        <v>估价对象XX用房的比较价值（楼面单价，元/平方米）</v>
      </c>
      <c r="Q37" s="3672"/>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1"/>
      <c r="M4" s="2712"/>
      <c r="N4" s="2712"/>
      <c r="O4" s="2712"/>
      <c r="P4" s="3689" t="s">
        <v>1775</v>
      </c>
      <c r="Q4" s="3690"/>
      <c r="R4" s="3695" t="s">
        <v>1771</v>
      </c>
      <c r="S4" s="3696"/>
      <c r="T4" s="3695" t="s">
        <v>1772</v>
      </c>
      <c r="U4" s="3696"/>
      <c r="V4" s="3682" t="s">
        <v>1773</v>
      </c>
      <c r="W4" s="3682"/>
      <c r="X4" s="1354"/>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2"/>
      <c r="W5" s="3682"/>
      <c r="X5" s="1354"/>
      <c r="Y5" s="3697"/>
      <c r="Z5" s="3698"/>
      <c r="AA5" s="3684"/>
      <c r="AB5" s="3684"/>
      <c r="AC5" s="3684"/>
    </row>
    <row r="6" spans="1:29" ht="15.75" thickBot="1">
      <c r="A6" s="360"/>
      <c r="B6" s="361"/>
      <c r="C6" s="3762" t="s">
        <v>1919</v>
      </c>
      <c r="D6" s="3763"/>
      <c r="E6" s="3764" t="s">
        <v>1919</v>
      </c>
      <c r="F6" s="3765"/>
      <c r="G6" s="3762" t="s">
        <v>1919</v>
      </c>
      <c r="H6" s="3763"/>
      <c r="I6" s="3762" t="s">
        <v>1919</v>
      </c>
      <c r="J6" s="3763"/>
      <c r="K6" s="559" t="s">
        <v>1678</v>
      </c>
      <c r="L6" s="2711"/>
      <c r="M6" s="2712"/>
      <c r="N6" s="2712"/>
      <c r="O6" s="2712"/>
      <c r="P6" s="3693"/>
      <c r="Q6" s="3694"/>
      <c r="R6" s="3697"/>
      <c r="S6" s="3698"/>
      <c r="T6" s="3699"/>
      <c r="U6" s="3700"/>
      <c r="V6" s="3682"/>
      <c r="W6" s="3682"/>
      <c r="X6" s="1354"/>
      <c r="Y6" s="3699"/>
      <c r="Z6" s="3700"/>
      <c r="AA6" s="3685"/>
      <c r="AB6" s="3685"/>
      <c r="AC6" s="3685"/>
    </row>
    <row r="7" spans="1:29" s="108" customFormat="1" ht="15.75" thickBot="1">
      <c r="A7" s="362" t="s">
        <v>1679</v>
      </c>
      <c r="B7" s="363"/>
      <c r="C7" s="364">
        <f>'数据-取费表'!B2</f>
        <v>45132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77" t="s">
        <v>1686</v>
      </c>
      <c r="Q9" s="1342"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5"/>
      <c r="M10" s="2716"/>
      <c r="N10" s="2716"/>
      <c r="O10" s="2769"/>
      <c r="P10" s="3677"/>
      <c r="Q10" s="1342" t="str">
        <f t="shared" si="6"/>
        <v>土地使用年限（年）</v>
      </c>
      <c r="R10" s="701" t="s">
        <v>14</v>
      </c>
      <c r="S10" s="702">
        <f t="shared" si="0"/>
        <v>101</v>
      </c>
      <c r="T10" s="701" t="s">
        <v>14</v>
      </c>
      <c r="U10" s="702">
        <f t="shared" si="1"/>
        <v>101</v>
      </c>
      <c r="V10" s="701" t="s">
        <v>14</v>
      </c>
      <c r="W10" s="702">
        <f t="shared" si="2"/>
        <v>101</v>
      </c>
      <c r="X10" s="703"/>
      <c r="Y10" s="3574"/>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77"/>
      <c r="Q11" s="1342"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77"/>
      <c r="Q12" s="1342">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77"/>
      <c r="Q13" s="1342">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77"/>
      <c r="Q14" s="1342">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679"/>
      <c r="Q16" s="1351"/>
      <c r="R16" s="705"/>
      <c r="S16" s="706"/>
      <c r="T16" s="705"/>
      <c r="U16" s="706"/>
      <c r="V16" s="705"/>
      <c r="W16" s="706"/>
      <c r="X16" s="1354"/>
      <c r="Y16" s="3679"/>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679"/>
      <c r="Q18" s="1351"/>
      <c r="R18" s="705"/>
      <c r="S18" s="706"/>
      <c r="T18" s="705"/>
      <c r="U18" s="706"/>
      <c r="V18" s="705"/>
      <c r="W18" s="706"/>
      <c r="X18" s="1354"/>
      <c r="Y18" s="3679"/>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9"/>
      <c r="Q19" s="1351" t="str">
        <f t="shared" ref="Q19:Q33" si="8">B19</f>
        <v>区域土地利用方向</v>
      </c>
      <c r="R19" s="705" t="s">
        <v>14</v>
      </c>
      <c r="S19" s="706">
        <f>F19</f>
        <v>100</v>
      </c>
      <c r="T19" s="705" t="s">
        <v>14</v>
      </c>
      <c r="U19" s="706">
        <f>H19</f>
        <v>100</v>
      </c>
      <c r="V19" s="705" t="s">
        <v>14</v>
      </c>
      <c r="W19" s="706">
        <f>J19</f>
        <v>100</v>
      </c>
      <c r="X19" s="1354"/>
      <c r="Y19" s="3679"/>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679"/>
      <c r="Q20" s="1351"/>
      <c r="R20" s="705"/>
      <c r="S20" s="706"/>
      <c r="T20" s="705"/>
      <c r="U20" s="706"/>
      <c r="V20" s="705"/>
      <c r="W20" s="706"/>
      <c r="X20" s="1354"/>
      <c r="Y20" s="3679"/>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9"/>
      <c r="Q21" s="1351" t="str">
        <f t="shared" si="8"/>
        <v>环境状况</v>
      </c>
      <c r="R21" s="705" t="s">
        <v>14</v>
      </c>
      <c r="S21" s="706">
        <f>F21</f>
        <v>100</v>
      </c>
      <c r="T21" s="705" t="s">
        <v>14</v>
      </c>
      <c r="U21" s="706">
        <f>H21</f>
        <v>100</v>
      </c>
      <c r="V21" s="705" t="s">
        <v>14</v>
      </c>
      <c r="W21" s="706">
        <f>J21</f>
        <v>100</v>
      </c>
      <c r="X21" s="1354"/>
      <c r="Y21" s="3679"/>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679"/>
      <c r="Q22" s="1351"/>
      <c r="R22" s="705"/>
      <c r="S22" s="706"/>
      <c r="T22" s="705"/>
      <c r="U22" s="706"/>
      <c r="V22" s="705"/>
      <c r="W22" s="706"/>
      <c r="X22" s="1354"/>
      <c r="Y22" s="3679"/>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9"/>
      <c r="Q23" s="1342" t="str">
        <f t="shared" si="8"/>
        <v>公共配套设施</v>
      </c>
      <c r="R23" s="701" t="s">
        <v>14</v>
      </c>
      <c r="S23" s="702">
        <f>F23</f>
        <v>100</v>
      </c>
      <c r="T23" s="701" t="s">
        <v>14</v>
      </c>
      <c r="U23" s="702">
        <f>H23</f>
        <v>100</v>
      </c>
      <c r="V23" s="701" t="s">
        <v>14</v>
      </c>
      <c r="W23" s="702">
        <f>J23</f>
        <v>100</v>
      </c>
      <c r="X23" s="703"/>
      <c r="Y23" s="3679"/>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679"/>
      <c r="Q24" s="1342"/>
      <c r="R24" s="701"/>
      <c r="S24" s="702"/>
      <c r="T24" s="701"/>
      <c r="U24" s="702"/>
      <c r="V24" s="701"/>
      <c r="W24" s="702"/>
      <c r="X24" s="703"/>
      <c r="Y24" s="367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9"/>
      <c r="Q25" s="1342"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679"/>
      <c r="Q26" s="1342"/>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9"/>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9"/>
      <c r="Q28" s="1351" t="str">
        <f t="shared" si="8"/>
        <v>毗邻道路的类型与等级</v>
      </c>
      <c r="R28" s="705" t="s">
        <v>14</v>
      </c>
      <c r="S28" s="706">
        <f t="shared" si="10"/>
        <v>100</v>
      </c>
      <c r="T28" s="705" t="s">
        <v>14</v>
      </c>
      <c r="U28" s="706">
        <f t="shared" si="11"/>
        <v>100</v>
      </c>
      <c r="V28" s="705" t="s">
        <v>14</v>
      </c>
      <c r="W28" s="706">
        <f t="shared" si="12"/>
        <v>100</v>
      </c>
      <c r="X28" s="1354"/>
      <c r="Y28" s="3679"/>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679"/>
      <c r="Q29" s="1351"/>
      <c r="R29" s="705"/>
      <c r="S29" s="706"/>
      <c r="T29" s="705"/>
      <c r="U29" s="706"/>
      <c r="V29" s="705"/>
      <c r="W29" s="706"/>
      <c r="X29" s="1354"/>
      <c r="Y29" s="367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9"/>
      <c r="Q30" s="1351" t="str">
        <f t="shared" si="8"/>
        <v>土地级别</v>
      </c>
      <c r="R30" s="705" t="s">
        <v>14</v>
      </c>
      <c r="S30" s="706">
        <f t="shared" si="10"/>
        <v>100</v>
      </c>
      <c r="T30" s="705" t="s">
        <v>14</v>
      </c>
      <c r="U30" s="706">
        <f t="shared" si="11"/>
        <v>100</v>
      </c>
      <c r="V30" s="705" t="s">
        <v>14</v>
      </c>
      <c r="W30" s="706">
        <f t="shared" si="12"/>
        <v>100</v>
      </c>
      <c r="X30" s="1354"/>
      <c r="Y30" s="3679"/>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9"/>
      <c r="Q31" s="1351">
        <f t="shared" si="8"/>
        <v>111</v>
      </c>
      <c r="R31" s="705" t="s">
        <v>14</v>
      </c>
      <c r="S31" s="706">
        <f t="shared" si="10"/>
        <v>100</v>
      </c>
      <c r="T31" s="705" t="s">
        <v>14</v>
      </c>
      <c r="U31" s="706">
        <f t="shared" si="11"/>
        <v>100</v>
      </c>
      <c r="V31" s="705" t="s">
        <v>14</v>
      </c>
      <c r="W31" s="706">
        <f t="shared" si="12"/>
        <v>100</v>
      </c>
      <c r="X31" s="1354"/>
      <c r="Y31" s="3679"/>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680" t="s">
        <v>1696</v>
      </c>
      <c r="Q32" s="1351">
        <f t="shared" si="8"/>
        <v>111</v>
      </c>
      <c r="R32" s="705" t="s">
        <v>14</v>
      </c>
      <c r="S32" s="706">
        <f t="shared" si="10"/>
        <v>100</v>
      </c>
      <c r="T32" s="705" t="s">
        <v>14</v>
      </c>
      <c r="U32" s="706">
        <f t="shared" si="11"/>
        <v>100</v>
      </c>
      <c r="V32" s="705" t="s">
        <v>14</v>
      </c>
      <c r="W32" s="706">
        <f t="shared" si="12"/>
        <v>100</v>
      </c>
      <c r="X32" s="1354"/>
      <c r="Y32" s="3681"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1"/>
      <c r="Q33" s="1351">
        <f t="shared" si="8"/>
        <v>111</v>
      </c>
      <c r="R33" s="708" t="s">
        <v>14</v>
      </c>
      <c r="S33" s="709">
        <f t="shared" si="10"/>
        <v>100</v>
      </c>
      <c r="T33" s="708" t="s">
        <v>14</v>
      </c>
      <c r="U33" s="709">
        <f t="shared" si="11"/>
        <v>100</v>
      </c>
      <c r="V33" s="708" t="s">
        <v>14</v>
      </c>
      <c r="W33" s="709">
        <f t="shared" si="12"/>
        <v>100</v>
      </c>
      <c r="X33" s="710"/>
      <c r="Y33" s="368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1"/>
      <c r="Q34" s="1351" t="str">
        <f>B34</f>
        <v>宗地面积</v>
      </c>
      <c r="R34" s="705" t="s">
        <v>14</v>
      </c>
      <c r="S34" s="706" t="e">
        <f t="shared" si="10"/>
        <v>#N/A</v>
      </c>
      <c r="T34" s="705" t="s">
        <v>14</v>
      </c>
      <c r="U34" s="706" t="e">
        <f t="shared" si="11"/>
        <v>#N/A</v>
      </c>
      <c r="V34" s="705" t="s">
        <v>14</v>
      </c>
      <c r="W34" s="706" t="e">
        <f t="shared" si="12"/>
        <v>#N/A</v>
      </c>
      <c r="X34" s="1354"/>
      <c r="Y34" s="3681"/>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681"/>
      <c r="Q35" s="1351" t="str">
        <f t="shared" ref="Q35:Q40" si="14">B35</f>
        <v>宗地形状</v>
      </c>
      <c r="R35" s="705" t="s">
        <v>14</v>
      </c>
      <c r="S35" s="706">
        <f t="shared" si="10"/>
        <v>100</v>
      </c>
      <c r="T35" s="705" t="s">
        <v>14</v>
      </c>
      <c r="U35" s="706">
        <f t="shared" si="11"/>
        <v>100</v>
      </c>
      <c r="V35" s="705" t="s">
        <v>14</v>
      </c>
      <c r="W35" s="706">
        <f t="shared" si="12"/>
        <v>100</v>
      </c>
      <c r="X35" s="1354"/>
      <c r="Y35" s="3681"/>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81"/>
      <c r="Q36" s="1351"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681" t="s">
        <v>1696</v>
      </c>
      <c r="Q37" s="1351" t="str">
        <f t="shared" si="14"/>
        <v>工程地质条件</v>
      </c>
      <c r="R37" s="705" t="s">
        <v>14</v>
      </c>
      <c r="S37" s="706">
        <f t="shared" si="10"/>
        <v>100</v>
      </c>
      <c r="T37" s="705" t="s">
        <v>14</v>
      </c>
      <c r="U37" s="706">
        <f t="shared" si="11"/>
        <v>100</v>
      </c>
      <c r="V37" s="705" t="s">
        <v>14</v>
      </c>
      <c r="W37" s="706">
        <f t="shared" si="12"/>
        <v>100</v>
      </c>
      <c r="X37" s="1354"/>
      <c r="Y37" s="368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1"/>
      <c r="Q38" s="1351">
        <f t="shared" si="14"/>
        <v>111</v>
      </c>
      <c r="R38" s="705" t="s">
        <v>14</v>
      </c>
      <c r="S38" s="706">
        <f t="shared" si="10"/>
        <v>100</v>
      </c>
      <c r="T38" s="705" t="s">
        <v>14</v>
      </c>
      <c r="U38" s="706">
        <f t="shared" si="11"/>
        <v>100</v>
      </c>
      <c r="V38" s="705" t="s">
        <v>14</v>
      </c>
      <c r="W38" s="706">
        <f t="shared" si="12"/>
        <v>100</v>
      </c>
      <c r="X38" s="1354"/>
      <c r="Y38" s="368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1"/>
      <c r="Q39" s="1351">
        <f t="shared" si="14"/>
        <v>111</v>
      </c>
      <c r="R39" s="705" t="s">
        <v>14</v>
      </c>
      <c r="S39" s="706">
        <f t="shared" si="10"/>
        <v>100</v>
      </c>
      <c r="T39" s="705" t="s">
        <v>14</v>
      </c>
      <c r="U39" s="706">
        <f t="shared" si="11"/>
        <v>100</v>
      </c>
      <c r="V39" s="705" t="s">
        <v>14</v>
      </c>
      <c r="W39" s="706">
        <f t="shared" si="12"/>
        <v>100</v>
      </c>
      <c r="X39" s="1354"/>
      <c r="Y39" s="3681"/>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1"/>
      <c r="Q40" s="1351">
        <f t="shared" si="14"/>
        <v>111</v>
      </c>
      <c r="R40" s="708" t="s">
        <v>14</v>
      </c>
      <c r="S40" s="709">
        <f t="shared" si="10"/>
        <v>100</v>
      </c>
      <c r="T40" s="708" t="s">
        <v>14</v>
      </c>
      <c r="U40" s="709">
        <f t="shared" si="11"/>
        <v>100</v>
      </c>
      <c r="V40" s="708" t="s">
        <v>14</v>
      </c>
      <c r="W40" s="709">
        <f t="shared" si="12"/>
        <v>100</v>
      </c>
      <c r="X40" s="710"/>
      <c r="Y40" s="3681"/>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677" t="str">
        <f>A41</f>
        <v>成交单价</v>
      </c>
      <c r="Q41" s="3677"/>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77" t="str">
        <f>A42</f>
        <v>比较价值（元/平方米）</v>
      </c>
      <c r="Q42" s="3677"/>
      <c r="R42" s="3670" t="e">
        <f>ROUND(PRODUCT(R41,AA7:AA40),0)</f>
        <v>#DIV/0!</v>
      </c>
      <c r="S42" s="3670"/>
      <c r="T42" s="3670" t="e">
        <f>ROUND(PRODUCT(T41,AB7:AB40),0)</f>
        <v>#DIV/0!</v>
      </c>
      <c r="U42" s="3670"/>
      <c r="V42" s="3670" t="e">
        <f>ROUND(PRODUCT(V41,AC7:AC40),0)</f>
        <v>#DIV/0!</v>
      </c>
      <c r="W42" s="367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71" t="str">
        <f>A43</f>
        <v>估价对象XX用房的比较价值（楼面单价，元/平方米）</v>
      </c>
      <c r="Q43" s="3672"/>
      <c r="R43" s="3673" t="e">
        <f>ROUND(IF(D42="简单平均",AVERAGE(R42:W42),R42*F42+T42*H42+V42*J42),0)</f>
        <v>#DIV/0!</v>
      </c>
      <c r="S43" s="3673"/>
      <c r="T43" s="3673"/>
      <c r="U43" s="3673"/>
      <c r="V43" s="3673"/>
      <c r="W43" s="367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74" t="s">
        <v>1887</v>
      </c>
      <c r="H50" s="3675"/>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34610.639999999999</v>
      </c>
      <c r="F51" s="639" t="e">
        <f t="shared" ref="F51:F60" si="15">ROUND(B51*E51/10000,0)</f>
        <v>#DIV/0!</v>
      </c>
      <c r="G51" s="3676"/>
      <c r="H51" s="367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v>
      </c>
      <c r="D58" s="945">
        <v>0.25</v>
      </c>
      <c r="E58" s="217">
        <f>'数据-汇总表'!E13</f>
        <v>8677.7000000000007</v>
      </c>
      <c r="F58" s="639" t="e">
        <f t="shared" si="15"/>
        <v>#DIV/0!</v>
      </c>
      <c r="G58" s="892" t="s">
        <v>1900</v>
      </c>
      <c r="H58" s="887" t="str">
        <f>IF(G58="商业",项目基本情况!B37,IF(G58="办公",项目基本情况!C37,IF(G58="住宅",项目基本情况!D37,项目基本情况!E37)))</f>
        <v>九级</v>
      </c>
      <c r="I58" s="773">
        <f>SUMIF(修正!A57:A68,H58,修正!G57:G68)</f>
        <v>0.1</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18302.099999999999</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3243</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778"/>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77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3248</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3249</v>
      </c>
      <c r="G14" s="3308" t="s">
        <v>3249</v>
      </c>
      <c r="H14" s="3308" t="s">
        <v>3249</v>
      </c>
      <c r="I14" s="3308" t="s">
        <v>3249</v>
      </c>
      <c r="J14" s="3308" t="s">
        <v>3249</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3250</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3255</v>
      </c>
      <c r="E19" s="3334"/>
      <c r="F19" s="3335" t="s">
        <v>3258</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83" t="s">
        <v>3260</v>
      </c>
      <c r="B20" s="167" t="s">
        <v>1994</v>
      </c>
      <c r="C20" s="3321" t="e">
        <f>ROUND(IF(F21="与级别开发程度一致",0,(G21-E21)/C21),0)</f>
        <v>#DIV/0!</v>
      </c>
      <c r="D20" s="3337" t="s">
        <v>1998</v>
      </c>
      <c r="E20" s="3338"/>
      <c r="F20" s="3789" t="s">
        <v>1995</v>
      </c>
      <c r="G20" s="3790"/>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784"/>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45132</v>
      </c>
      <c r="H23" s="3339" t="s">
        <v>3262</v>
      </c>
      <c r="I23" s="3340" t="str">
        <f>IF(H23="季度增幅（自定义）",SUMIF(N25:N28,E2,O25:O28),"")</f>
        <v/>
      </c>
      <c r="J23" s="3442" t="s">
        <v>3261</v>
      </c>
      <c r="K23" s="1125"/>
      <c r="L23" s="2051" t="s">
        <v>2004</v>
      </c>
      <c r="M23" s="1327">
        <f>ROUND(SUMIF(地价!B2:G2,E2,地价!B16:G16),0)</f>
        <v>0</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存贷款利率!E23/100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3341</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3266</v>
      </c>
      <c r="G33" s="2095"/>
      <c r="H33" s="2095"/>
      <c r="I33" s="2095"/>
      <c r="J33" s="2096"/>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3267</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87"/>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88"/>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88"/>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3275</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3276</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3"/>
      <c r="F91" s="1813"/>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5" t="s">
        <v>3300</v>
      </c>
      <c r="B103" s="3785"/>
      <c r="C103" s="3785"/>
      <c r="D103" s="3785"/>
      <c r="E103" s="3785"/>
      <c r="F103" s="3785"/>
      <c r="G103" s="3785"/>
      <c r="H103" s="3785"/>
      <c r="I103" s="3785"/>
      <c r="J103" s="3785"/>
      <c r="K103" s="3386"/>
      <c r="L103" s="3386"/>
      <c r="M103" s="3386"/>
      <c r="N103" s="3386"/>
    </row>
    <row r="104" spans="1:14">
      <c r="A104" s="3786" t="s">
        <v>3301</v>
      </c>
      <c r="B104" s="3786" t="s">
        <v>3302</v>
      </c>
      <c r="C104" s="3387" t="s">
        <v>3303</v>
      </c>
      <c r="D104" s="3388"/>
      <c r="E104" s="3388"/>
      <c r="F104" s="3388"/>
      <c r="G104" s="3388"/>
      <c r="H104" s="3388"/>
      <c r="I104" s="3388"/>
      <c r="J104" s="3389"/>
      <c r="K104" s="3390"/>
      <c r="L104" s="3390"/>
      <c r="M104" s="3390"/>
      <c r="N104" s="3390"/>
    </row>
    <row r="105" spans="1:14">
      <c r="A105" s="3786"/>
      <c r="B105" s="3786"/>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72"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3"/>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5" t="s">
        <v>3317</v>
      </c>
      <c r="B113" s="3775"/>
      <c r="C113" s="3775"/>
      <c r="D113" s="3775"/>
      <c r="E113" s="3775"/>
      <c r="F113" s="3775"/>
      <c r="G113" s="3775"/>
      <c r="H113" s="3775"/>
      <c r="I113" s="3775"/>
      <c r="J113" s="377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0" t="s">
        <v>2611</v>
      </c>
      <c r="B20" s="3795" t="s">
        <v>2632</v>
      </c>
      <c r="C20" s="3099" t="s">
        <v>2443</v>
      </c>
      <c r="D20" s="3100"/>
      <c r="E20" s="3101">
        <v>1</v>
      </c>
      <c r="F20" s="3102" t="s">
        <v>2444</v>
      </c>
      <c r="G20" s="3102"/>
    </row>
    <row r="21" spans="1:13" ht="19.5" customHeight="1">
      <c r="A21" s="3801"/>
      <c r="B21" s="3794"/>
      <c r="C21" s="3103" t="s">
        <v>2445</v>
      </c>
      <c r="D21" s="3104"/>
      <c r="E21" s="3105">
        <v>1</v>
      </c>
      <c r="F21" s="3102" t="s">
        <v>2446</v>
      </c>
      <c r="G21" s="3102"/>
    </row>
    <row r="22" spans="1:13" ht="19.5" customHeight="1">
      <c r="A22" s="3801"/>
      <c r="B22" s="3794"/>
      <c r="C22" s="3103" t="s">
        <v>2447</v>
      </c>
      <c r="D22" s="3104"/>
      <c r="E22" s="3105">
        <v>0.9</v>
      </c>
      <c r="F22" s="3102" t="s">
        <v>2448</v>
      </c>
      <c r="G22" s="3102"/>
    </row>
    <row r="23" spans="1:13" ht="19.5" customHeight="1">
      <c r="A23" s="3801"/>
      <c r="B23" s="3794"/>
      <c r="C23" s="3103" t="s">
        <v>2449</v>
      </c>
      <c r="D23" s="3104"/>
      <c r="E23" s="3105">
        <v>0.9</v>
      </c>
      <c r="F23" s="3102" t="s">
        <v>2450</v>
      </c>
      <c r="G23" s="3102"/>
    </row>
    <row r="24" spans="1:13" ht="19.5" customHeight="1">
      <c r="A24" s="3801"/>
      <c r="B24" s="3794"/>
      <c r="C24" s="3103" t="s">
        <v>2451</v>
      </c>
      <c r="D24" s="3104"/>
      <c r="E24" s="3105">
        <v>0.8</v>
      </c>
      <c r="F24" s="3102" t="s">
        <v>2452</v>
      </c>
      <c r="G24" s="3102"/>
    </row>
    <row r="25" spans="1:13" ht="19.5" customHeight="1" thickBot="1">
      <c r="A25" s="3802"/>
      <c r="B25" s="3796"/>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97" t="s">
        <v>2635</v>
      </c>
      <c r="B27" s="3795" t="s">
        <v>2616</v>
      </c>
      <c r="C27" s="3099" t="s">
        <v>2456</v>
      </c>
      <c r="D27" s="3100"/>
      <c r="E27" s="3101">
        <v>1</v>
      </c>
      <c r="F27" s="3102" t="s">
        <v>2457</v>
      </c>
      <c r="G27" s="3102"/>
    </row>
    <row r="28" spans="1:13" ht="19.5" customHeight="1">
      <c r="A28" s="3798"/>
      <c r="B28" s="3794"/>
      <c r="C28" s="3103" t="s">
        <v>2458</v>
      </c>
      <c r="D28" s="3104"/>
      <c r="E28" s="3105">
        <v>1</v>
      </c>
      <c r="F28" s="3102" t="s">
        <v>2459</v>
      </c>
      <c r="G28" s="3102"/>
    </row>
    <row r="29" spans="1:13" ht="19.5" customHeight="1">
      <c r="A29" s="3798"/>
      <c r="B29" s="3794"/>
      <c r="C29" s="3103" t="s">
        <v>2460</v>
      </c>
      <c r="D29" s="3104"/>
      <c r="E29" s="3105">
        <v>0.8</v>
      </c>
      <c r="F29" s="3102" t="s">
        <v>2461</v>
      </c>
      <c r="G29" s="3102"/>
    </row>
    <row r="30" spans="1:13" ht="19.5" customHeight="1">
      <c r="A30" s="3798"/>
      <c r="B30" s="3794"/>
      <c r="C30" s="3103" t="s">
        <v>2462</v>
      </c>
      <c r="D30" s="3104"/>
      <c r="E30" s="3105">
        <v>0.8</v>
      </c>
      <c r="F30" s="3102" t="s">
        <v>2463</v>
      </c>
      <c r="G30" s="3102"/>
    </row>
    <row r="31" spans="1:13" ht="19.5" customHeight="1">
      <c r="A31" s="3798"/>
      <c r="B31" s="3794"/>
      <c r="C31" s="3103" t="s">
        <v>2464</v>
      </c>
      <c r="D31" s="3104"/>
      <c r="E31" s="3105">
        <v>0.8</v>
      </c>
      <c r="F31" s="3102" t="s">
        <v>2465</v>
      </c>
      <c r="G31" s="3102"/>
    </row>
    <row r="32" spans="1:13" ht="19.5" customHeight="1">
      <c r="A32" s="3798"/>
      <c r="B32" s="3794"/>
      <c r="C32" s="3103" t="s">
        <v>2466</v>
      </c>
      <c r="D32" s="3104"/>
      <c r="E32" s="3105">
        <v>0.7</v>
      </c>
      <c r="F32" s="3102" t="s">
        <v>2467</v>
      </c>
      <c r="G32" s="3102"/>
    </row>
    <row r="33" spans="1:7" ht="19.5" customHeight="1">
      <c r="A33" s="3798"/>
      <c r="B33" s="3794"/>
      <c r="C33" s="3103" t="s">
        <v>2468</v>
      </c>
      <c r="D33" s="3104"/>
      <c r="E33" s="3105">
        <v>0.8</v>
      </c>
      <c r="F33" s="3102" t="s">
        <v>2469</v>
      </c>
      <c r="G33" s="3102"/>
    </row>
    <row r="34" spans="1:7" ht="19.5" customHeight="1">
      <c r="A34" s="3798"/>
      <c r="B34" s="3794"/>
      <c r="C34" s="3103" t="s">
        <v>2470</v>
      </c>
      <c r="D34" s="3104"/>
      <c r="E34" s="3105">
        <v>0.6</v>
      </c>
      <c r="F34" s="3102" t="s">
        <v>2471</v>
      </c>
      <c r="G34" s="3102"/>
    </row>
    <row r="35" spans="1:7" ht="19.5" customHeight="1">
      <c r="A35" s="3798"/>
      <c r="B35" s="3794"/>
      <c r="C35" s="3103" t="s">
        <v>2472</v>
      </c>
      <c r="D35" s="3104"/>
      <c r="E35" s="3105">
        <v>0.2</v>
      </c>
      <c r="F35" s="3102" t="s">
        <v>2473</v>
      </c>
      <c r="G35" s="3102"/>
    </row>
    <row r="36" spans="1:7" ht="19.5" customHeight="1">
      <c r="A36" s="3798"/>
      <c r="B36" s="3794"/>
      <c r="C36" s="3103" t="s">
        <v>2474</v>
      </c>
      <c r="D36" s="3104"/>
      <c r="E36" s="3105">
        <v>0.2</v>
      </c>
      <c r="F36" s="3102" t="s">
        <v>2475</v>
      </c>
      <c r="G36" s="3102"/>
    </row>
    <row r="37" spans="1:7" ht="19.5" customHeight="1">
      <c r="A37" s="3798"/>
      <c r="B37" s="3792" t="s">
        <v>2636</v>
      </c>
      <c r="C37" s="3103" t="s">
        <v>2476</v>
      </c>
      <c r="D37" s="3104"/>
      <c r="E37" s="3105">
        <v>0.6</v>
      </c>
      <c r="F37" s="3102" t="s">
        <v>2477</v>
      </c>
      <c r="G37" s="3102"/>
    </row>
    <row r="38" spans="1:7" ht="19.5" customHeight="1">
      <c r="A38" s="3798"/>
      <c r="B38" s="3794"/>
      <c r="C38" s="3103" t="s">
        <v>2478</v>
      </c>
      <c r="D38" s="3104"/>
      <c r="E38" s="3105">
        <v>0.6</v>
      </c>
      <c r="F38" s="3102" t="s">
        <v>2479</v>
      </c>
      <c r="G38" s="3102"/>
    </row>
    <row r="39" spans="1:7" ht="19.5" customHeight="1" thickBot="1">
      <c r="A39" s="3799"/>
      <c r="B39" s="3796"/>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0" t="s">
        <v>2614</v>
      </c>
      <c r="B41" s="3795" t="s">
        <v>2638</v>
      </c>
      <c r="C41" s="3099" t="s">
        <v>2483</v>
      </c>
      <c r="D41" s="3100"/>
      <c r="E41" s="3101">
        <v>1</v>
      </c>
      <c r="F41" s="3102" t="s">
        <v>2484</v>
      </c>
      <c r="G41" s="3102"/>
    </row>
    <row r="42" spans="1:7" ht="19.5" customHeight="1">
      <c r="A42" s="3801"/>
      <c r="B42" s="3794"/>
      <c r="C42" s="3103" t="s">
        <v>2485</v>
      </c>
      <c r="D42" s="3104"/>
      <c r="E42" s="3105">
        <v>1</v>
      </c>
      <c r="F42" s="3102" t="s">
        <v>2486</v>
      </c>
      <c r="G42" s="3102"/>
    </row>
    <row r="43" spans="1:7" ht="19.5" customHeight="1">
      <c r="A43" s="3801"/>
      <c r="B43" s="3793"/>
      <c r="C43" s="3103" t="s">
        <v>2487</v>
      </c>
      <c r="D43" s="3104"/>
      <c r="E43" s="3105">
        <v>1.5</v>
      </c>
      <c r="F43" s="3102" t="s">
        <v>2488</v>
      </c>
      <c r="G43" s="3102"/>
    </row>
    <row r="44" spans="1:7" ht="19.5" customHeight="1">
      <c r="A44" s="3801"/>
      <c r="B44" s="3114" t="s">
        <v>2639</v>
      </c>
      <c r="C44" s="3103" t="s">
        <v>2640</v>
      </c>
      <c r="D44" s="3104"/>
      <c r="E44" s="3105">
        <v>2</v>
      </c>
      <c r="F44" s="3102" t="s">
        <v>2489</v>
      </c>
      <c r="G44" s="3102"/>
    </row>
    <row r="45" spans="1:7" ht="19.5" customHeight="1">
      <c r="A45" s="3801"/>
      <c r="B45" s="3792" t="s">
        <v>2641</v>
      </c>
      <c r="C45" s="3103" t="s">
        <v>2490</v>
      </c>
      <c r="D45" s="3104"/>
      <c r="E45" s="3105">
        <v>1</v>
      </c>
      <c r="F45" s="3102" t="s">
        <v>2491</v>
      </c>
      <c r="G45" s="3102"/>
    </row>
    <row r="46" spans="1:7" ht="19.5" customHeight="1">
      <c r="A46" s="3801"/>
      <c r="B46" s="3794"/>
      <c r="C46" s="3103" t="s">
        <v>2492</v>
      </c>
      <c r="D46" s="3104"/>
      <c r="E46" s="3105">
        <v>1</v>
      </c>
      <c r="F46" s="3102" t="s">
        <v>2493</v>
      </c>
      <c r="G46" s="3102"/>
    </row>
    <row r="47" spans="1:7" ht="19.5" customHeight="1">
      <c r="A47" s="3801"/>
      <c r="B47" s="3794"/>
      <c r="C47" s="3103" t="s">
        <v>2494</v>
      </c>
      <c r="D47" s="3104"/>
      <c r="E47" s="3105">
        <v>1</v>
      </c>
      <c r="F47" s="3102" t="s">
        <v>2495</v>
      </c>
      <c r="G47" s="3102"/>
    </row>
    <row r="48" spans="1:7" ht="19.5" customHeight="1">
      <c r="A48" s="3801"/>
      <c r="B48" s="3794"/>
      <c r="C48" s="3103" t="s">
        <v>2496</v>
      </c>
      <c r="D48" s="3104"/>
      <c r="E48" s="3105">
        <v>1</v>
      </c>
      <c r="F48" s="3102" t="s">
        <v>2497</v>
      </c>
      <c r="G48" s="3102"/>
    </row>
    <row r="49" spans="1:7" ht="19.5" customHeight="1">
      <c r="A49" s="3801"/>
      <c r="B49" s="3794"/>
      <c r="C49" s="3103" t="s">
        <v>2498</v>
      </c>
      <c r="D49" s="3104"/>
      <c r="E49" s="3105">
        <v>1</v>
      </c>
      <c r="F49" s="3102" t="s">
        <v>2499</v>
      </c>
      <c r="G49" s="3102"/>
    </row>
    <row r="50" spans="1:7" ht="19.5" customHeight="1">
      <c r="A50" s="3801"/>
      <c r="B50" s="3794"/>
      <c r="C50" s="3103" t="s">
        <v>2500</v>
      </c>
      <c r="D50" s="3104"/>
      <c r="E50" s="3105">
        <v>1</v>
      </c>
      <c r="F50" s="3102" t="s">
        <v>2501</v>
      </c>
      <c r="G50" s="3102"/>
    </row>
    <row r="51" spans="1:7" ht="19.5" customHeight="1" thickBot="1">
      <c r="A51" s="3802"/>
      <c r="B51" s="3796"/>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92" t="s">
        <v>2655</v>
      </c>
      <c r="C73" s="3088" t="s">
        <v>2656</v>
      </c>
      <c r="D73" s="3088" t="s">
        <v>2657</v>
      </c>
      <c r="E73" s="3114">
        <v>0.2</v>
      </c>
      <c r="F73" s="3114">
        <v>25</v>
      </c>
    </row>
    <row r="74" spans="1:7" ht="24">
      <c r="A74" s="3114">
        <v>2</v>
      </c>
      <c r="B74" s="3794"/>
      <c r="C74" s="3088" t="s">
        <v>2658</v>
      </c>
      <c r="D74" s="3088" t="s">
        <v>2659</v>
      </c>
      <c r="E74" s="3114">
        <v>0.2</v>
      </c>
      <c r="F74" s="3114">
        <v>25</v>
      </c>
    </row>
    <row r="75" spans="1:7" ht="24">
      <c r="A75" s="3114">
        <v>3</v>
      </c>
      <c r="B75" s="3794"/>
      <c r="C75" s="3088" t="s">
        <v>2660</v>
      </c>
      <c r="D75" s="3088" t="s">
        <v>2661</v>
      </c>
      <c r="E75" s="3114">
        <v>0.2</v>
      </c>
      <c r="F75" s="3114">
        <v>25</v>
      </c>
    </row>
    <row r="76" spans="1:7" ht="13.5">
      <c r="A76" s="3114">
        <v>4</v>
      </c>
      <c r="B76" s="3794"/>
      <c r="C76" s="3088" t="s">
        <v>2662</v>
      </c>
      <c r="D76" s="3088" t="s">
        <v>2663</v>
      </c>
      <c r="E76" s="3114">
        <v>0.15</v>
      </c>
      <c r="F76" s="3114">
        <v>20</v>
      </c>
    </row>
    <row r="77" spans="1:7" ht="24">
      <c r="A77" s="3114">
        <v>5</v>
      </c>
      <c r="B77" s="3794"/>
      <c r="C77" s="3088" t="s">
        <v>2664</v>
      </c>
      <c r="D77" s="3088" t="s">
        <v>2665</v>
      </c>
      <c r="E77" s="3114">
        <v>0.15</v>
      </c>
      <c r="F77" s="3114">
        <v>20</v>
      </c>
    </row>
    <row r="78" spans="1:7" ht="24">
      <c r="A78" s="3114">
        <v>6</v>
      </c>
      <c r="B78" s="3794"/>
      <c r="C78" s="3088" t="s">
        <v>2666</v>
      </c>
      <c r="D78" s="3088" t="s">
        <v>2667</v>
      </c>
      <c r="E78" s="3114">
        <v>0.15</v>
      </c>
      <c r="F78" s="3114">
        <v>20</v>
      </c>
    </row>
    <row r="79" spans="1:7" ht="24">
      <c r="A79" s="3114">
        <v>7</v>
      </c>
      <c r="B79" s="3794"/>
      <c r="C79" s="3088" t="s">
        <v>2668</v>
      </c>
      <c r="D79" s="3088" t="s">
        <v>2669</v>
      </c>
      <c r="E79" s="3114">
        <v>0.15</v>
      </c>
      <c r="F79" s="3114">
        <v>20</v>
      </c>
    </row>
    <row r="80" spans="1:7" ht="24">
      <c r="A80" s="3114">
        <v>8</v>
      </c>
      <c r="B80" s="3794"/>
      <c r="C80" s="3088" t="s">
        <v>2670</v>
      </c>
      <c r="D80" s="3088" t="s">
        <v>2671</v>
      </c>
      <c r="E80" s="3114">
        <v>0.1</v>
      </c>
      <c r="F80" s="3114">
        <v>15</v>
      </c>
    </row>
    <row r="81" spans="1:6" ht="24">
      <c r="A81" s="3114">
        <v>9</v>
      </c>
      <c r="B81" s="3794"/>
      <c r="C81" s="3088" t="s">
        <v>2672</v>
      </c>
      <c r="D81" s="3088" t="s">
        <v>2673</v>
      </c>
      <c r="E81" s="3114">
        <v>0.1</v>
      </c>
      <c r="F81" s="3114">
        <v>15</v>
      </c>
    </row>
    <row r="82" spans="1:6" ht="24">
      <c r="A82" s="3114">
        <v>10</v>
      </c>
      <c r="B82" s="3794"/>
      <c r="C82" s="3088" t="s">
        <v>2674</v>
      </c>
      <c r="D82" s="3088" t="s">
        <v>2675</v>
      </c>
      <c r="E82" s="3114">
        <v>0.1</v>
      </c>
      <c r="F82" s="3114">
        <v>15</v>
      </c>
    </row>
    <row r="83" spans="1:6" ht="24">
      <c r="A83" s="3114">
        <v>11</v>
      </c>
      <c r="B83" s="3794"/>
      <c r="C83" s="3088" t="s">
        <v>2676</v>
      </c>
      <c r="D83" s="3088" t="s">
        <v>2677</v>
      </c>
      <c r="E83" s="3114">
        <v>0.1</v>
      </c>
      <c r="F83" s="3114">
        <v>15</v>
      </c>
    </row>
    <row r="84" spans="1:6" ht="24">
      <c r="A84" s="3114">
        <v>12</v>
      </c>
      <c r="B84" s="3794"/>
      <c r="C84" s="3088" t="s">
        <v>2678</v>
      </c>
      <c r="D84" s="3088" t="s">
        <v>2679</v>
      </c>
      <c r="E84" s="3114">
        <v>0.1</v>
      </c>
      <c r="F84" s="3114">
        <v>15</v>
      </c>
    </row>
    <row r="85" spans="1:6" ht="13.5">
      <c r="A85" s="3114">
        <v>13</v>
      </c>
      <c r="B85" s="3794"/>
      <c r="C85" s="3088" t="s">
        <v>2680</v>
      </c>
      <c r="D85" s="3088" t="s">
        <v>2681</v>
      </c>
      <c r="E85" s="3114">
        <v>0.1</v>
      </c>
      <c r="F85" s="3114">
        <v>15</v>
      </c>
    </row>
    <row r="86" spans="1:6" ht="13.5">
      <c r="A86" s="3114">
        <v>14</v>
      </c>
      <c r="B86" s="3794"/>
      <c r="C86" s="3088" t="s">
        <v>2682</v>
      </c>
      <c r="D86" s="3088" t="s">
        <v>2683</v>
      </c>
      <c r="E86" s="3114">
        <v>0.1</v>
      </c>
      <c r="F86" s="3114">
        <v>15</v>
      </c>
    </row>
    <row r="87" spans="1:6" ht="13.5">
      <c r="A87" s="3114">
        <v>15</v>
      </c>
      <c r="B87" s="3794"/>
      <c r="C87" s="3088" t="s">
        <v>2684</v>
      </c>
      <c r="D87" s="3088" t="s">
        <v>2685</v>
      </c>
      <c r="E87" s="3114">
        <v>0.1</v>
      </c>
      <c r="F87" s="3114">
        <v>15</v>
      </c>
    </row>
    <row r="88" spans="1:6" ht="24">
      <c r="A88" s="3114">
        <v>16</v>
      </c>
      <c r="B88" s="3794"/>
      <c r="C88" s="3088" t="s">
        <v>2686</v>
      </c>
      <c r="D88" s="3088" t="s">
        <v>2687</v>
      </c>
      <c r="E88" s="3114">
        <v>0.1</v>
      </c>
      <c r="F88" s="3114">
        <v>15</v>
      </c>
    </row>
    <row r="89" spans="1:6" ht="24">
      <c r="A89" s="3114">
        <v>17</v>
      </c>
      <c r="B89" s="3793"/>
      <c r="C89" s="3088" t="s">
        <v>2688</v>
      </c>
      <c r="D89" s="3088" t="s">
        <v>2689</v>
      </c>
      <c r="E89" s="3114">
        <v>0.1</v>
      </c>
      <c r="F89" s="3114">
        <v>15</v>
      </c>
    </row>
    <row r="90" spans="1:6" ht="13.5">
      <c r="A90" s="3114">
        <v>18</v>
      </c>
      <c r="B90" s="3792" t="s">
        <v>2690</v>
      </c>
      <c r="C90" s="3088" t="s">
        <v>2691</v>
      </c>
      <c r="D90" s="3088" t="s">
        <v>2692</v>
      </c>
      <c r="E90" s="3114">
        <v>0.2</v>
      </c>
      <c r="F90" s="3114">
        <v>25</v>
      </c>
    </row>
    <row r="91" spans="1:6" ht="24">
      <c r="A91" s="3114">
        <v>19</v>
      </c>
      <c r="B91" s="3794"/>
      <c r="C91" s="3088" t="s">
        <v>2693</v>
      </c>
      <c r="D91" s="3088" t="s">
        <v>2694</v>
      </c>
      <c r="E91" s="3114">
        <v>0.2</v>
      </c>
      <c r="F91" s="3114">
        <v>25</v>
      </c>
    </row>
    <row r="92" spans="1:6" ht="13.5">
      <c r="A92" s="3114">
        <v>20</v>
      </c>
      <c r="B92" s="3794"/>
      <c r="C92" s="3088" t="s">
        <v>2695</v>
      </c>
      <c r="D92" s="3088" t="s">
        <v>2696</v>
      </c>
      <c r="E92" s="3114">
        <v>0.15</v>
      </c>
      <c r="F92" s="3114">
        <v>20</v>
      </c>
    </row>
    <row r="93" spans="1:6" ht="13.5">
      <c r="A93" s="3114">
        <v>21</v>
      </c>
      <c r="B93" s="3794"/>
      <c r="C93" s="3088" t="s">
        <v>2697</v>
      </c>
      <c r="D93" s="3088" t="s">
        <v>2698</v>
      </c>
      <c r="E93" s="3114">
        <v>0.15</v>
      </c>
      <c r="F93" s="3114">
        <v>20</v>
      </c>
    </row>
    <row r="94" spans="1:6" ht="13.5">
      <c r="A94" s="3114">
        <v>22</v>
      </c>
      <c r="B94" s="3794"/>
      <c r="C94" s="3088" t="s">
        <v>2699</v>
      </c>
      <c r="D94" s="3088" t="s">
        <v>2700</v>
      </c>
      <c r="E94" s="3114">
        <v>0.15</v>
      </c>
      <c r="F94" s="3114">
        <v>20</v>
      </c>
    </row>
    <row r="95" spans="1:6" ht="36">
      <c r="A95" s="3114">
        <v>23</v>
      </c>
      <c r="B95" s="3794"/>
      <c r="C95" s="3088" t="s">
        <v>2701</v>
      </c>
      <c r="D95" s="3088" t="s">
        <v>2702</v>
      </c>
      <c r="E95" s="3114">
        <v>0.15</v>
      </c>
      <c r="F95" s="3114">
        <v>20</v>
      </c>
    </row>
    <row r="96" spans="1:6" ht="13.5">
      <c r="A96" s="3114">
        <v>24</v>
      </c>
      <c r="B96" s="3794"/>
      <c r="C96" s="3088" t="s">
        <v>2703</v>
      </c>
      <c r="D96" s="3088" t="s">
        <v>2704</v>
      </c>
      <c r="E96" s="3114">
        <v>0.1</v>
      </c>
      <c r="F96" s="3114">
        <v>15</v>
      </c>
    </row>
    <row r="97" spans="1:6" ht="13.5">
      <c r="A97" s="3114">
        <v>25</v>
      </c>
      <c r="B97" s="3794"/>
      <c r="C97" s="3088" t="s">
        <v>2705</v>
      </c>
      <c r="D97" s="3088" t="s">
        <v>2706</v>
      </c>
      <c r="E97" s="3114">
        <v>0.1</v>
      </c>
      <c r="F97" s="3114">
        <v>15</v>
      </c>
    </row>
    <row r="98" spans="1:6" ht="24">
      <c r="A98" s="3114">
        <v>26</v>
      </c>
      <c r="B98" s="3794"/>
      <c r="C98" s="3088" t="s">
        <v>2707</v>
      </c>
      <c r="D98" s="3088" t="s">
        <v>2708</v>
      </c>
      <c r="E98" s="3114">
        <v>0.1</v>
      </c>
      <c r="F98" s="3114">
        <v>15</v>
      </c>
    </row>
    <row r="99" spans="1:6" ht="24">
      <c r="A99" s="3114">
        <v>27</v>
      </c>
      <c r="B99" s="3794"/>
      <c r="C99" s="3088" t="s">
        <v>2709</v>
      </c>
      <c r="D99" s="3088" t="s">
        <v>2710</v>
      </c>
      <c r="E99" s="3114">
        <v>0.1</v>
      </c>
      <c r="F99" s="3114">
        <v>15</v>
      </c>
    </row>
    <row r="100" spans="1:6" ht="13.5">
      <c r="A100" s="3114">
        <v>28</v>
      </c>
      <c r="B100" s="3794"/>
      <c r="C100" s="3088" t="s">
        <v>2711</v>
      </c>
      <c r="D100" s="3088" t="s">
        <v>2712</v>
      </c>
      <c r="E100" s="3114">
        <v>0.1</v>
      </c>
      <c r="F100" s="3114">
        <v>15</v>
      </c>
    </row>
    <row r="101" spans="1:6" ht="13.5">
      <c r="A101" s="3114">
        <v>29</v>
      </c>
      <c r="B101" s="3794"/>
      <c r="C101" s="3088" t="s">
        <v>2713</v>
      </c>
      <c r="D101" s="3088" t="s">
        <v>2714</v>
      </c>
      <c r="E101" s="3114">
        <v>0.1</v>
      </c>
      <c r="F101" s="3114">
        <v>15</v>
      </c>
    </row>
    <row r="102" spans="1:6" ht="13.5">
      <c r="A102" s="3114">
        <v>30</v>
      </c>
      <c r="B102" s="3794"/>
      <c r="C102" s="3088" t="s">
        <v>2715</v>
      </c>
      <c r="D102" s="3088" t="s">
        <v>2716</v>
      </c>
      <c r="E102" s="3114">
        <v>0.1</v>
      </c>
      <c r="F102" s="3114">
        <v>15</v>
      </c>
    </row>
    <row r="103" spans="1:6" ht="24">
      <c r="A103" s="3114">
        <v>31</v>
      </c>
      <c r="B103" s="3794"/>
      <c r="C103" s="3088" t="s">
        <v>2717</v>
      </c>
      <c r="D103" s="3088" t="s">
        <v>2718</v>
      </c>
      <c r="E103" s="3114">
        <v>0.1</v>
      </c>
      <c r="F103" s="3114">
        <v>15</v>
      </c>
    </row>
    <row r="104" spans="1:6" ht="24">
      <c r="A104" s="3114">
        <v>32</v>
      </c>
      <c r="B104" s="3794"/>
      <c r="C104" s="3088" t="s">
        <v>2719</v>
      </c>
      <c r="D104" s="3088" t="s">
        <v>2720</v>
      </c>
      <c r="E104" s="3114">
        <v>0.1</v>
      </c>
      <c r="F104" s="3114">
        <v>15</v>
      </c>
    </row>
    <row r="105" spans="1:6" ht="24">
      <c r="A105" s="3114">
        <v>33</v>
      </c>
      <c r="B105" s="3794"/>
      <c r="C105" s="3088" t="s">
        <v>2721</v>
      </c>
      <c r="D105" s="3088" t="s">
        <v>2722</v>
      </c>
      <c r="E105" s="3114">
        <v>0.1</v>
      </c>
      <c r="F105" s="3114">
        <v>15</v>
      </c>
    </row>
    <row r="106" spans="1:6" ht="24">
      <c r="A106" s="3114">
        <v>34</v>
      </c>
      <c r="B106" s="3793"/>
      <c r="C106" s="3088" t="s">
        <v>2723</v>
      </c>
      <c r="D106" s="3088" t="s">
        <v>2724</v>
      </c>
      <c r="E106" s="3114">
        <v>0.1</v>
      </c>
      <c r="F106" s="3114">
        <v>15</v>
      </c>
    </row>
    <row r="107" spans="1:6" ht="24">
      <c r="A107" s="3114">
        <v>35</v>
      </c>
      <c r="B107" s="3792" t="s">
        <v>2725</v>
      </c>
      <c r="C107" s="3114" t="s">
        <v>2726</v>
      </c>
      <c r="D107" s="3088" t="s">
        <v>2727</v>
      </c>
      <c r="E107" s="3114">
        <v>0.15</v>
      </c>
      <c r="F107" s="3114">
        <v>20</v>
      </c>
    </row>
    <row r="108" spans="1:6" ht="13.5">
      <c r="A108" s="3114">
        <v>36</v>
      </c>
      <c r="B108" s="3794"/>
      <c r="C108" s="3114" t="s">
        <v>2728</v>
      </c>
      <c r="D108" s="3088" t="s">
        <v>2729</v>
      </c>
      <c r="E108" s="3114">
        <v>0.15</v>
      </c>
      <c r="F108" s="3114">
        <v>20</v>
      </c>
    </row>
    <row r="109" spans="1:6" ht="13.5">
      <c r="A109" s="3114">
        <v>37</v>
      </c>
      <c r="B109" s="3794"/>
      <c r="C109" s="3114" t="s">
        <v>2730</v>
      </c>
      <c r="D109" s="3088" t="s">
        <v>2731</v>
      </c>
      <c r="E109" s="3114">
        <v>0.15</v>
      </c>
      <c r="F109" s="3114">
        <v>20</v>
      </c>
    </row>
    <row r="110" spans="1:6" ht="13.5">
      <c r="A110" s="3114">
        <v>38</v>
      </c>
      <c r="B110" s="3794"/>
      <c r="C110" s="3114" t="s">
        <v>2732</v>
      </c>
      <c r="D110" s="3088" t="s">
        <v>2733</v>
      </c>
      <c r="E110" s="3114">
        <v>0.1</v>
      </c>
      <c r="F110" s="3114">
        <v>15</v>
      </c>
    </row>
    <row r="111" spans="1:6" ht="24">
      <c r="A111" s="3114">
        <v>39</v>
      </c>
      <c r="B111" s="3794"/>
      <c r="C111" s="3114" t="s">
        <v>2734</v>
      </c>
      <c r="D111" s="3088" t="s">
        <v>2735</v>
      </c>
      <c r="E111" s="3114">
        <v>0.1</v>
      </c>
      <c r="F111" s="3114">
        <v>15</v>
      </c>
    </row>
    <row r="112" spans="1:6" ht="24">
      <c r="A112" s="3114">
        <v>40</v>
      </c>
      <c r="B112" s="3793"/>
      <c r="C112" s="3114" t="s">
        <v>2736</v>
      </c>
      <c r="D112" s="3088" t="s">
        <v>2737</v>
      </c>
      <c r="E112" s="3114">
        <v>0.1</v>
      </c>
      <c r="F112" s="3114">
        <v>15</v>
      </c>
    </row>
    <row r="113" spans="1:6" ht="13.5">
      <c r="A113" s="3114">
        <v>41</v>
      </c>
      <c r="B113" s="3791" t="s">
        <v>2738</v>
      </c>
      <c r="C113" s="3114" t="s">
        <v>2739</v>
      </c>
      <c r="D113" s="3088" t="s">
        <v>2740</v>
      </c>
      <c r="E113" s="3114">
        <v>0.1</v>
      </c>
      <c r="F113" s="3114">
        <v>15</v>
      </c>
    </row>
    <row r="114" spans="1:6" ht="13.5">
      <c r="A114" s="3114">
        <v>42</v>
      </c>
      <c r="B114" s="3791"/>
      <c r="C114" s="3114" t="s">
        <v>2741</v>
      </c>
      <c r="D114" s="3088" t="s">
        <v>2742</v>
      </c>
      <c r="E114" s="3114">
        <v>0.1</v>
      </c>
      <c r="F114" s="3114">
        <v>15</v>
      </c>
    </row>
    <row r="115" spans="1:6" ht="24">
      <c r="A115" s="3114">
        <v>43</v>
      </c>
      <c r="B115" s="3791"/>
      <c r="C115" s="3114" t="s">
        <v>2743</v>
      </c>
      <c r="D115" s="3088" t="s">
        <v>2744</v>
      </c>
      <c r="E115" s="3114">
        <v>0.1</v>
      </c>
      <c r="F115" s="3114">
        <v>15</v>
      </c>
    </row>
    <row r="116" spans="1:6" ht="13.5">
      <c r="A116" s="3114">
        <v>44</v>
      </c>
      <c r="B116" s="3792" t="s">
        <v>2745</v>
      </c>
      <c r="C116" s="3114" t="s">
        <v>2746</v>
      </c>
      <c r="D116" s="3088" t="s">
        <v>2747</v>
      </c>
      <c r="E116" s="3114">
        <v>0.1</v>
      </c>
      <c r="F116" s="3114">
        <v>15</v>
      </c>
    </row>
    <row r="117" spans="1:6" ht="24">
      <c r="A117" s="3114">
        <v>45</v>
      </c>
      <c r="B117" s="3793"/>
      <c r="C117" s="3088" t="s">
        <v>2748</v>
      </c>
      <c r="D117" s="3088" t="s">
        <v>2749</v>
      </c>
      <c r="E117" s="3114">
        <v>0.1</v>
      </c>
      <c r="F117" s="3114">
        <v>15</v>
      </c>
    </row>
    <row r="118" spans="1:6" ht="24">
      <c r="A118" s="3114">
        <v>46</v>
      </c>
      <c r="B118" s="3792" t="s">
        <v>2750</v>
      </c>
      <c r="C118" s="3114" t="s">
        <v>2751</v>
      </c>
      <c r="D118" s="3088" t="s">
        <v>2752</v>
      </c>
      <c r="E118" s="3114">
        <v>0.1</v>
      </c>
      <c r="F118" s="3114">
        <v>15</v>
      </c>
    </row>
    <row r="119" spans="1:6" ht="24">
      <c r="A119" s="3114">
        <v>47</v>
      </c>
      <c r="B119" s="3793"/>
      <c r="C119" s="3114" t="s">
        <v>2753</v>
      </c>
      <c r="D119" s="3088" t="s">
        <v>2754</v>
      </c>
      <c r="E119" s="3114">
        <v>0.1</v>
      </c>
      <c r="F119" s="3114">
        <v>15</v>
      </c>
    </row>
    <row r="120" spans="1:6" ht="13.5">
      <c r="A120" s="3114">
        <v>48</v>
      </c>
      <c r="B120" s="3792" t="s">
        <v>2755</v>
      </c>
      <c r="C120" s="3114" t="s">
        <v>2756</v>
      </c>
      <c r="D120" s="3088" t="s">
        <v>2757</v>
      </c>
      <c r="E120" s="3114">
        <v>0.1</v>
      </c>
      <c r="F120" s="3114">
        <v>15</v>
      </c>
    </row>
    <row r="121" spans="1:6" ht="13.5">
      <c r="A121" s="3114">
        <v>49</v>
      </c>
      <c r="B121" s="3793"/>
      <c r="C121" s="3114" t="s">
        <v>2758</v>
      </c>
      <c r="D121" s="3088" t="s">
        <v>2759</v>
      </c>
      <c r="E121" s="3114">
        <v>0.1</v>
      </c>
      <c r="F121" s="3114">
        <v>15</v>
      </c>
    </row>
    <row r="122" spans="1:6" ht="24">
      <c r="A122" s="3114">
        <v>50</v>
      </c>
      <c r="B122" s="3791" t="s">
        <v>2760</v>
      </c>
      <c r="C122" s="3114" t="s">
        <v>2761</v>
      </c>
      <c r="D122" s="3088" t="s">
        <v>2762</v>
      </c>
      <c r="E122" s="3114">
        <v>0.1</v>
      </c>
      <c r="F122" s="3114">
        <v>15</v>
      </c>
    </row>
    <row r="123" spans="1:6" ht="24">
      <c r="A123" s="3114">
        <v>51</v>
      </c>
      <c r="B123" s="3791"/>
      <c r="C123" s="3114" t="s">
        <v>2763</v>
      </c>
      <c r="D123" s="3088" t="s">
        <v>2764</v>
      </c>
      <c r="E123" s="3114">
        <v>0.1</v>
      </c>
      <c r="F123" s="3114">
        <v>15</v>
      </c>
    </row>
    <row r="124" spans="1:6" ht="24">
      <c r="A124" s="3114">
        <v>52</v>
      </c>
      <c r="B124" s="3791" t="s">
        <v>2765</v>
      </c>
      <c r="C124" s="3114" t="s">
        <v>2766</v>
      </c>
      <c r="D124" s="3088" t="s">
        <v>2767</v>
      </c>
      <c r="E124" s="3114">
        <v>0.1</v>
      </c>
      <c r="F124" s="3114">
        <v>15</v>
      </c>
    </row>
    <row r="125" spans="1:6" ht="24">
      <c r="A125" s="3114">
        <v>53</v>
      </c>
      <c r="B125" s="3791"/>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91" t="s">
        <v>2773</v>
      </c>
      <c r="C127" s="3114" t="s">
        <v>2774</v>
      </c>
      <c r="D127" s="3088" t="s">
        <v>2775</v>
      </c>
      <c r="E127" s="3114">
        <v>0.1</v>
      </c>
      <c r="F127" s="3114">
        <v>15</v>
      </c>
    </row>
    <row r="128" spans="1:6" ht="13.5">
      <c r="A128" s="3114">
        <v>56</v>
      </c>
      <c r="B128" s="3791"/>
      <c r="C128" s="3114" t="s">
        <v>2776</v>
      </c>
      <c r="D128" s="3088" t="s">
        <v>2777</v>
      </c>
      <c r="E128" s="3114">
        <v>0.1</v>
      </c>
      <c r="F128" s="3114">
        <v>15</v>
      </c>
    </row>
    <row r="129" spans="1:6" ht="24">
      <c r="A129" s="3114">
        <v>57</v>
      </c>
      <c r="B129" s="3791"/>
      <c r="C129" s="3114" t="s">
        <v>2778</v>
      </c>
      <c r="D129" s="3088" t="s">
        <v>2779</v>
      </c>
      <c r="E129" s="3114">
        <v>0.1</v>
      </c>
      <c r="F129" s="3114">
        <v>15</v>
      </c>
    </row>
    <row r="130" spans="1:6" ht="24">
      <c r="A130" s="3114">
        <v>58</v>
      </c>
      <c r="B130" s="3791" t="s">
        <v>2780</v>
      </c>
      <c r="C130" s="3114" t="s">
        <v>2781</v>
      </c>
      <c r="D130" s="3088" t="s">
        <v>2782</v>
      </c>
      <c r="E130" s="3114">
        <v>0.1</v>
      </c>
      <c r="F130" s="3114">
        <v>15</v>
      </c>
    </row>
    <row r="131" spans="1:6" ht="13.5">
      <c r="A131" s="3114">
        <v>59</v>
      </c>
      <c r="B131" s="3791"/>
      <c r="C131" s="3114" t="s">
        <v>2783</v>
      </c>
      <c r="D131" s="3088" t="s">
        <v>2784</v>
      </c>
      <c r="E131" s="3114">
        <v>0.1</v>
      </c>
      <c r="F131" s="3114">
        <v>15</v>
      </c>
    </row>
    <row r="132" spans="1:6" ht="13.5">
      <c r="A132" s="3114">
        <v>60</v>
      </c>
      <c r="B132" s="3792" t="s">
        <v>2785</v>
      </c>
      <c r="C132" s="3114" t="s">
        <v>2786</v>
      </c>
      <c r="D132" s="3088" t="s">
        <v>2787</v>
      </c>
      <c r="E132" s="3114">
        <v>0.1</v>
      </c>
      <c r="F132" s="3114">
        <v>15</v>
      </c>
    </row>
    <row r="133" spans="1:6" ht="13.5">
      <c r="A133" s="3114">
        <v>61</v>
      </c>
      <c r="B133" s="3793"/>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91" t="s">
        <v>2793</v>
      </c>
      <c r="C135" s="3114" t="s">
        <v>2794</v>
      </c>
      <c r="D135" s="3088" t="s">
        <v>2795</v>
      </c>
      <c r="E135" s="3114">
        <v>0.1</v>
      </c>
      <c r="F135" s="3114">
        <v>15</v>
      </c>
    </row>
    <row r="136" spans="1:6" ht="13.5">
      <c r="A136" s="3114">
        <v>64</v>
      </c>
      <c r="B136" s="3791"/>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50">
        <f ca="1">结果表!H101</f>
        <v>79064</v>
      </c>
      <c r="E5" s="1490"/>
    </row>
    <row r="6" spans="1:5" ht="15.75">
      <c r="A6" s="1490"/>
      <c r="B6" s="3485"/>
      <c r="C6" s="1493" t="s">
        <v>911</v>
      </c>
      <c r="D6" s="850" t="str">
        <f ca="1">NUMBERSTRING(INT(D5*10000),2)&amp;"元整"</f>
        <v>柒亿玖仟零陆拾肆万元整</v>
      </c>
      <c r="E6" s="1490"/>
    </row>
    <row r="7" spans="1:5" ht="15.75">
      <c r="A7" s="1490"/>
      <c r="B7" s="3490"/>
      <c r="C7" s="1494" t="s">
        <v>912</v>
      </c>
      <c r="D7" s="851">
        <f ca="1">结果表!H102</f>
        <v>17588</v>
      </c>
      <c r="E7" s="1490"/>
    </row>
    <row r="8" spans="1:5" ht="15.75">
      <c r="A8" s="1490"/>
      <c r="B8" s="3491" t="str">
        <f>结果表!E103</f>
        <v>2.估价师知悉的法定优先受偿款</v>
      </c>
      <c r="C8" s="1495" t="s">
        <v>913</v>
      </c>
      <c r="D8" s="851">
        <f>结果表!H103</f>
        <v>0</v>
      </c>
      <c r="E8" s="1490"/>
    </row>
    <row r="9" spans="1:5" ht="15.75">
      <c r="A9" s="1490"/>
      <c r="B9" s="349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4" t="str">
        <f>结果表!E107</f>
        <v>3.房地产抵押价值</v>
      </c>
      <c r="C13" s="1498" t="s">
        <v>910</v>
      </c>
      <c r="D13" s="853">
        <f ca="1">结果表!H107</f>
        <v>79064</v>
      </c>
      <c r="E13" s="1490"/>
    </row>
    <row r="14" spans="1:5" ht="15.75">
      <c r="A14" s="1490"/>
      <c r="B14" s="3485"/>
      <c r="C14" s="1493" t="s">
        <v>911</v>
      </c>
      <c r="D14" s="850" t="str">
        <f ca="1">NUMBERSTRING(INT(D13*10000),2)&amp;"元整"</f>
        <v>柒亿玖仟零陆拾肆万元整</v>
      </c>
      <c r="E14" s="1490"/>
    </row>
    <row r="15" spans="1:5" ht="15">
      <c r="A15" s="1490"/>
      <c r="B15" s="3490"/>
      <c r="C15" s="1494" t="s">
        <v>921</v>
      </c>
      <c r="D15" s="859">
        <f ca="1">结果表!H108</f>
        <v>17588</v>
      </c>
      <c r="E15" s="1490"/>
    </row>
    <row r="16" spans="1:5" ht="15">
      <c r="A16" s="1490"/>
      <c r="B16" s="3491" t="str">
        <f>结果表!E109</f>
        <v>——</v>
      </c>
      <c r="C16" s="1498" t="s">
        <v>922</v>
      </c>
      <c r="D16" s="1499" t="str">
        <f>结果表!H109</f>
        <v>——</v>
      </c>
      <c r="E16" s="1490"/>
    </row>
    <row r="17" spans="1:5" ht="15.75">
      <c r="A17" s="1490"/>
      <c r="B17" s="3492"/>
      <c r="C17" s="1493" t="s">
        <v>923</v>
      </c>
      <c r="D17" s="850" t="e">
        <f>NUMBERSTRING(INT(D16*10000),2)&amp;"元整"</f>
        <v>#VALUE!</v>
      </c>
      <c r="E17" s="1490"/>
    </row>
    <row r="18" spans="1:5" ht="15">
      <c r="A18" s="1490"/>
      <c r="B18" s="3493"/>
      <c r="C18" s="1494" t="s">
        <v>912</v>
      </c>
      <c r="D18" s="859" t="str">
        <f>结果表!H110</f>
        <v>——</v>
      </c>
      <c r="E18" s="1490"/>
    </row>
    <row r="19" spans="1:5" ht="15.75">
      <c r="A19" s="1490"/>
      <c r="B19" s="3484" t="str">
        <f>结果表!E111</f>
        <v>——</v>
      </c>
      <c r="C19" s="1498" t="s">
        <v>910</v>
      </c>
      <c r="D19" s="851" t="str">
        <f>结果表!H111</f>
        <v>——</v>
      </c>
      <c r="E19" s="1490"/>
    </row>
    <row r="20" spans="1:5" ht="15.75">
      <c r="A20" s="1490"/>
      <c r="B20" s="3485"/>
      <c r="C20" s="1493" t="s">
        <v>923</v>
      </c>
      <c r="D20" s="850" t="e">
        <f>NUMBERSTRING(INT(D19*10000),2)&amp;"元整"</f>
        <v>#VALUE!</v>
      </c>
      <c r="E20" s="1490"/>
    </row>
    <row r="21" spans="1:5" ht="15.75" thickBot="1">
      <c r="A21" s="1490"/>
      <c r="B21" s="348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24810</v>
      </c>
      <c r="C2" s="2" t="s">
        <v>106</v>
      </c>
      <c r="D2" s="199"/>
      <c r="E2" s="199"/>
      <c r="F2" s="199"/>
      <c r="G2" s="199"/>
    </row>
    <row r="3" spans="1:7" s="200" customFormat="1" ht="18" customHeight="1" thickBot="1">
      <c r="A3" s="203" t="s">
        <v>58</v>
      </c>
      <c r="B3" s="204">
        <f ca="1">ROUND(B2*10000/'数据-汇总表'!E3,0)</f>
        <v>5519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519</v>
      </c>
      <c r="D9" s="845">
        <f>'数据-汇总表'!E5</f>
        <v>34610.639999999999</v>
      </c>
      <c r="E9" s="225">
        <f>'数据-取费表'!B27</f>
        <v>150</v>
      </c>
      <c r="F9" s="221"/>
      <c r="G9" s="226"/>
    </row>
    <row r="10" spans="1:7" s="214" customFormat="1" ht="13.5" customHeight="1">
      <c r="A10" s="779" t="s">
        <v>356</v>
      </c>
      <c r="B10" s="224" t="s">
        <v>67</v>
      </c>
      <c r="C10" s="225">
        <f>ROUND(D10*E10/10000,0)</f>
        <v>197</v>
      </c>
      <c r="D10" s="845">
        <f>'数据-汇总表'!E6</f>
        <v>10343.529999999999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899</v>
      </c>
      <c r="D19" s="849">
        <f>'数据-汇总表'!E3</f>
        <v>44954.17</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v>
      </c>
      <c r="D22" s="235">
        <f ca="1">C26</f>
        <v>0</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58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123</v>
      </c>
      <c r="D27" s="235">
        <f>C29</f>
        <v>1E-4</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123</v>
      </c>
      <c r="D28" s="235"/>
      <c r="E28" s="236"/>
      <c r="F28" s="246"/>
      <c r="G28" s="247"/>
    </row>
    <row r="29" spans="1:7" s="214" customFormat="1" ht="13.5" customHeight="1">
      <c r="A29" s="780" t="s">
        <v>347</v>
      </c>
      <c r="B29" s="248" t="s">
        <v>425</v>
      </c>
      <c r="C29" s="238">
        <f>ROUND(C21*F27*'数据-取费表'!B21/'数据-取费表'!B20,4)</f>
        <v>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23853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693</v>
      </c>
      <c r="D34" s="217"/>
      <c r="E34" s="220"/>
      <c r="F34" s="257">
        <f>IF('数据-取费表'!B24=0,1,'数据-取费表'!N16)</f>
        <v>0.04</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36</v>
      </c>
      <c r="D37" s="217">
        <f>'数据-汇总表'!E3</f>
        <v>44954.17</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0</v>
      </c>
      <c r="D44" s="238"/>
      <c r="E44" s="238"/>
      <c r="F44" s="239"/>
      <c r="G44" s="3669"/>
    </row>
    <row r="45" spans="1:7" s="214" customFormat="1" ht="13.5" customHeight="1">
      <c r="A45" s="777" t="s">
        <v>341</v>
      </c>
      <c r="B45" s="244" t="s">
        <v>85</v>
      </c>
      <c r="C45" s="245">
        <f>C46</f>
        <v>109</v>
      </c>
      <c r="D45" s="235">
        <f>C47</f>
        <v>2.8E-3</v>
      </c>
      <c r="E45" s="236" t="s">
        <v>102</v>
      </c>
      <c r="F45" s="246"/>
      <c r="G45" s="247" t="s">
        <v>434</v>
      </c>
    </row>
    <row r="46" spans="1:7" s="214" customFormat="1" ht="13.5" customHeight="1">
      <c r="A46" s="780" t="s">
        <v>349</v>
      </c>
      <c r="B46" s="248" t="s">
        <v>427</v>
      </c>
      <c r="C46" s="249">
        <f>ROUND((C33+C39)*F27,0)</f>
        <v>109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957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957</v>
      </c>
      <c r="D51" s="232"/>
      <c r="E51" s="232"/>
      <c r="F51" s="264"/>
      <c r="G51" s="234" t="s">
        <v>37</v>
      </c>
    </row>
    <row r="52" spans="1:7" s="208" customFormat="1" ht="16.5" thickBot="1">
      <c r="A52" s="265" t="s">
        <v>38</v>
      </c>
      <c r="B52" s="266"/>
      <c r="C52" s="267">
        <f ca="1">C31+C51</f>
        <v>24810</v>
      </c>
      <c r="D52" s="266"/>
      <c r="E52" s="266"/>
      <c r="F52" s="266"/>
      <c r="G52" s="268"/>
    </row>
    <row r="55" spans="1:7" ht="15">
      <c r="B55" s="270" t="s">
        <v>39</v>
      </c>
      <c r="C55" s="271"/>
    </row>
    <row r="56" spans="1:7">
      <c r="B56" s="273" t="s">
        <v>40</v>
      </c>
      <c r="C56" s="274">
        <f ca="1">ROUND(C51/C52,3)</f>
        <v>3.9E-2</v>
      </c>
    </row>
    <row r="57" spans="1:7">
      <c r="B57" s="273" t="s">
        <v>41</v>
      </c>
      <c r="C57" s="27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5" t="s">
        <v>2845</v>
      </c>
      <c r="B1" s="3805"/>
      <c r="C1" s="3805"/>
      <c r="D1" s="3805"/>
      <c r="E1" s="3805"/>
      <c r="F1" s="3805"/>
      <c r="G1" s="3806"/>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03"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04"/>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7" t="s">
        <v>3187</v>
      </c>
      <c r="B1" s="3807"/>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8" t="s">
        <v>3238</v>
      </c>
      <c r="B1" s="3808"/>
      <c r="C1" s="3808"/>
      <c r="D1" s="3808"/>
      <c r="E1" s="3808"/>
      <c r="F1" s="3809"/>
    </row>
    <row r="2" spans="1:6">
      <c r="A2" s="3287" t="s">
        <v>3239</v>
      </c>
      <c r="B2" s="3288"/>
      <c r="C2" s="3288"/>
      <c r="D2" s="3288"/>
      <c r="E2" s="3288"/>
      <c r="F2" s="3288"/>
    </row>
    <row r="3" spans="1:6">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17">
        <f>基准地价修正!G23</f>
        <v>45132</v>
      </c>
      <c r="B1" s="3206" t="s">
        <v>2844</v>
      </c>
      <c r="C1" s="3207"/>
      <c r="D1" s="3207"/>
      <c r="E1" s="3207"/>
      <c r="F1" s="3207"/>
      <c r="G1" s="3207"/>
      <c r="H1" s="3207"/>
      <c r="I1" s="3207"/>
      <c r="J1" s="3161"/>
      <c r="K1" s="3207" t="s">
        <v>454</v>
      </c>
      <c r="L1" s="3207"/>
      <c r="M1" s="3207"/>
      <c r="N1" s="3207"/>
      <c r="O1" s="3207"/>
      <c r="P1" s="3207"/>
      <c r="Q1" s="3161"/>
      <c r="R1" s="3810" t="s">
        <v>456</v>
      </c>
      <c r="S1" s="3811"/>
      <c r="T1" s="3811"/>
      <c r="U1" s="3811"/>
      <c r="V1" s="3811"/>
      <c r="W1" s="3811"/>
      <c r="X1" s="3161"/>
      <c r="Y1" s="3810" t="s">
        <v>457</v>
      </c>
      <c r="Z1" s="3811"/>
      <c r="AA1" s="3811"/>
      <c r="AB1" s="3811"/>
      <c r="AC1" s="3811"/>
      <c r="AD1" s="3811"/>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10" t="s">
        <v>2832</v>
      </c>
      <c r="S21" s="3811"/>
      <c r="T21" s="3811"/>
      <c r="U21" s="3811"/>
      <c r="V21" s="3811"/>
      <c r="W21" s="3811"/>
      <c r="X21" s="3161"/>
      <c r="Y21" s="3810" t="s">
        <v>2833</v>
      </c>
      <c r="Z21" s="3811"/>
      <c r="AA21" s="3811"/>
      <c r="AB21" s="3811"/>
      <c r="AC21" s="3811"/>
      <c r="AD21" s="3811"/>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1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45132</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2313</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heetViews>
  <sheetFormatPr defaultRowHeight="12"/>
  <cols>
    <col min="1" max="1" width="10.5" style="3446" bestFit="1" customWidth="1"/>
    <col min="2" max="16384" width="9" style="3446"/>
  </cols>
  <sheetData>
    <row r="1" spans="1:12">
      <c r="A1" s="3823"/>
      <c r="B1" s="3823"/>
      <c r="C1" s="3823"/>
      <c r="D1" s="3823"/>
      <c r="E1" s="3823"/>
      <c r="F1" s="3823"/>
      <c r="G1" s="3823"/>
      <c r="H1" s="3823"/>
      <c r="I1" s="3823"/>
      <c r="J1" s="3823"/>
      <c r="K1" s="3823"/>
      <c r="L1" s="3823"/>
    </row>
    <row r="2" spans="1:12">
      <c r="A2" s="3824"/>
      <c r="B2" s="3823"/>
      <c r="C2" s="3823"/>
      <c r="D2" s="3823"/>
      <c r="E2" s="3823"/>
      <c r="F2" s="3823"/>
      <c r="G2" s="3823"/>
      <c r="H2" s="3823"/>
      <c r="I2" s="3823"/>
      <c r="J2" s="3823"/>
      <c r="K2" s="3823"/>
      <c r="L2" s="3823"/>
    </row>
    <row r="3" spans="1:12">
      <c r="A3" s="3824"/>
      <c r="B3" s="3823"/>
      <c r="C3" s="3823"/>
      <c r="D3" s="3823"/>
      <c r="E3" s="3823"/>
      <c r="F3" s="3823"/>
      <c r="G3" s="3823"/>
      <c r="H3" s="3823"/>
      <c r="I3" s="3823"/>
      <c r="J3" s="3823"/>
      <c r="K3" s="3823"/>
      <c r="L3" s="3823"/>
    </row>
    <row r="4" spans="1:12">
      <c r="A4" s="3824"/>
      <c r="B4" s="3823"/>
      <c r="C4" s="3823"/>
      <c r="D4" s="3823"/>
      <c r="E4" s="3823"/>
      <c r="F4" s="3823"/>
      <c r="G4" s="3823"/>
      <c r="H4" s="3823"/>
      <c r="I4" s="3823"/>
      <c r="J4" s="3823"/>
      <c r="K4" s="3823"/>
      <c r="L4" s="3823"/>
    </row>
    <row r="5" spans="1:12">
      <c r="A5" s="3824"/>
      <c r="B5" s="3823"/>
      <c r="C5" s="3823"/>
      <c r="D5" s="3823"/>
      <c r="E5" s="3823"/>
      <c r="F5" s="3823"/>
      <c r="G5" s="3823"/>
      <c r="H5" s="3823"/>
      <c r="I5" s="3823"/>
      <c r="J5" s="3823"/>
      <c r="K5" s="3823"/>
      <c r="L5" s="3823"/>
    </row>
    <row r="6" spans="1:12">
      <c r="A6" s="3824"/>
      <c r="B6" s="3823"/>
      <c r="C6" s="3823"/>
      <c r="D6" s="3823"/>
      <c r="E6" s="3823"/>
      <c r="F6" s="3823"/>
      <c r="G6" s="3823"/>
      <c r="H6" s="3823"/>
      <c r="I6" s="3823"/>
      <c r="J6" s="3823"/>
      <c r="K6" s="3823"/>
      <c r="L6" s="3823"/>
    </row>
    <row r="7" spans="1:12">
      <c r="A7" s="3450"/>
      <c r="B7" s="3823"/>
      <c r="C7" s="3823"/>
      <c r="D7" s="3823"/>
      <c r="E7" s="3823"/>
      <c r="F7" s="3823"/>
      <c r="G7" s="3823"/>
      <c r="H7" s="3823"/>
      <c r="I7" s="3823"/>
      <c r="J7" s="3823"/>
      <c r="K7" s="3823"/>
      <c r="L7" s="3823"/>
    </row>
    <row r="8" spans="1:12">
      <c r="A8" s="3450"/>
      <c r="B8" s="3823"/>
      <c r="C8" s="3823"/>
      <c r="D8" s="3823"/>
      <c r="E8" s="3823"/>
      <c r="F8" s="3823"/>
      <c r="G8" s="3823"/>
      <c r="H8" s="3823"/>
      <c r="I8" s="3823"/>
      <c r="J8" s="3823"/>
      <c r="K8" s="3823"/>
      <c r="L8" s="3823"/>
    </row>
    <row r="9" spans="1:12">
      <c r="A9" s="3450"/>
      <c r="B9" s="3823"/>
      <c r="C9" s="3823"/>
      <c r="D9" s="3823"/>
      <c r="E9" s="3823"/>
      <c r="F9" s="3823"/>
      <c r="G9" s="3823"/>
      <c r="H9" s="3823"/>
      <c r="I9" s="3823"/>
      <c r="J9" s="3823"/>
      <c r="K9" s="3823"/>
      <c r="L9" s="3823"/>
    </row>
    <row r="10" spans="1:12">
      <c r="A10" s="3450"/>
      <c r="B10" s="3823"/>
      <c r="C10" s="3823"/>
      <c r="D10" s="3823"/>
      <c r="E10" s="3823"/>
      <c r="F10" s="3823"/>
      <c r="G10" s="3823"/>
      <c r="H10" s="3823"/>
      <c r="I10" s="3823"/>
      <c r="J10" s="3823"/>
      <c r="K10" s="3823"/>
      <c r="L10" s="3823"/>
    </row>
    <row r="11" spans="1:12">
      <c r="A11" s="3450"/>
      <c r="B11" s="3823"/>
      <c r="C11" s="3823"/>
      <c r="D11" s="3823"/>
      <c r="E11" s="3823"/>
      <c r="F11" s="3823"/>
      <c r="G11" s="3823"/>
      <c r="H11" s="3823"/>
      <c r="I11" s="3823"/>
      <c r="J11" s="3823"/>
      <c r="K11" s="3823"/>
      <c r="L11" s="3823"/>
    </row>
    <row r="12" spans="1:12">
      <c r="A12" s="3450"/>
      <c r="B12" s="3823"/>
      <c r="C12" s="3823"/>
      <c r="D12" s="3823"/>
      <c r="E12" s="3823"/>
      <c r="F12" s="3823"/>
      <c r="G12" s="3823"/>
      <c r="H12" s="3823"/>
      <c r="I12" s="3823"/>
      <c r="J12" s="3823"/>
      <c r="K12" s="3823"/>
      <c r="L12" s="3823"/>
    </row>
    <row r="13" spans="1:12">
      <c r="A13" s="3450"/>
      <c r="B13" s="3823"/>
      <c r="C13" s="3823"/>
      <c r="D13" s="3823"/>
      <c r="E13" s="3823"/>
      <c r="F13" s="3823"/>
      <c r="G13" s="3823"/>
      <c r="H13" s="3823"/>
      <c r="I13" s="3823"/>
      <c r="J13" s="3823"/>
      <c r="K13" s="3823"/>
      <c r="L13" s="3823"/>
    </row>
    <row r="14" spans="1:12">
      <c r="A14" s="3450"/>
      <c r="B14" s="3823"/>
      <c r="C14" s="3823"/>
      <c r="D14" s="3823"/>
      <c r="E14" s="3823"/>
      <c r="F14" s="3823"/>
      <c r="G14" s="3823"/>
      <c r="H14" s="3823"/>
      <c r="I14" s="3823"/>
      <c r="J14" s="3823"/>
      <c r="K14" s="3823"/>
      <c r="L14" s="3823"/>
    </row>
    <row r="15" spans="1:12">
      <c r="A15" s="3450"/>
      <c r="B15" s="3823"/>
      <c r="C15" s="3823"/>
      <c r="D15" s="3823"/>
      <c r="E15" s="3823"/>
      <c r="F15" s="3823"/>
      <c r="G15" s="3823"/>
      <c r="H15" s="3823"/>
      <c r="I15" s="3823"/>
      <c r="J15" s="3823"/>
      <c r="K15" s="3823"/>
      <c r="L15" s="3823"/>
    </row>
    <row r="16" spans="1:12">
      <c r="A16" s="3450"/>
      <c r="B16" s="3823"/>
      <c r="C16" s="3823"/>
      <c r="D16" s="3823"/>
      <c r="E16" s="3823"/>
      <c r="F16" s="3823"/>
      <c r="G16" s="3823"/>
      <c r="H16" s="3823"/>
      <c r="I16" s="3823"/>
      <c r="J16" s="3823"/>
      <c r="K16" s="3823"/>
      <c r="L16" s="3823"/>
    </row>
    <row r="17" spans="1:12">
      <c r="A17" s="3450"/>
      <c r="B17" s="3825"/>
      <c r="C17" s="3825"/>
      <c r="D17" s="3825"/>
      <c r="E17" s="3825"/>
      <c r="F17" s="3825"/>
      <c r="G17" s="3825"/>
      <c r="H17" s="3825"/>
      <c r="I17" s="3825"/>
      <c r="J17" s="3825"/>
      <c r="K17" s="3825"/>
      <c r="L17" s="3825"/>
    </row>
    <row r="18" spans="1:12">
      <c r="A18" s="3450"/>
      <c r="B18" s="3825"/>
      <c r="C18" s="3825"/>
      <c r="D18" s="3825"/>
      <c r="E18" s="3825"/>
      <c r="F18" s="3825"/>
      <c r="G18" s="3825"/>
      <c r="H18" s="3825"/>
      <c r="I18" s="3825"/>
      <c r="J18" s="3825"/>
      <c r="K18" s="3825"/>
      <c r="L18" s="3825"/>
    </row>
    <row r="19" spans="1:12">
      <c r="A19" s="3450"/>
      <c r="B19" s="3451"/>
      <c r="C19" s="3451"/>
      <c r="D19" s="3451"/>
      <c r="E19" s="3451"/>
      <c r="F19" s="3451"/>
      <c r="G19" s="3451"/>
      <c r="H19" s="3451"/>
      <c r="I19" s="3451"/>
      <c r="J19" s="3451"/>
      <c r="K19" s="3451"/>
      <c r="L19" s="3451"/>
    </row>
    <row r="20" spans="1:12">
      <c r="A20" s="3450"/>
      <c r="B20" s="3825"/>
      <c r="C20" s="3825"/>
      <c r="D20" s="3825"/>
      <c r="E20" s="3825"/>
      <c r="F20" s="3825"/>
      <c r="G20" s="3825"/>
      <c r="H20" s="3825"/>
      <c r="I20" s="3825"/>
      <c r="J20" s="3825"/>
      <c r="K20" s="3825"/>
      <c r="L20" s="3825"/>
    </row>
    <row r="21" spans="1:12">
      <c r="A21" s="3450"/>
      <c r="B21" s="3825"/>
      <c r="C21" s="3825"/>
      <c r="D21" s="3825"/>
      <c r="E21" s="3825"/>
      <c r="F21" s="3825"/>
      <c r="G21" s="3825"/>
      <c r="H21" s="3825"/>
      <c r="I21" s="3825"/>
      <c r="J21" s="3825"/>
      <c r="K21" s="3825"/>
      <c r="L21" s="3825"/>
    </row>
    <row r="22" spans="1:12">
      <c r="A22" s="3450"/>
      <c r="B22" s="3825"/>
      <c r="C22" s="3825"/>
      <c r="D22" s="3825"/>
      <c r="E22" s="3825"/>
      <c r="F22" s="3825"/>
      <c r="G22" s="3825"/>
      <c r="H22" s="3825"/>
      <c r="I22" s="3825"/>
      <c r="J22" s="3825"/>
      <c r="K22" s="3825"/>
      <c r="L22" s="3825"/>
    </row>
    <row r="23" spans="1:12">
      <c r="A23" s="3450"/>
      <c r="B23" s="3825"/>
      <c r="C23" s="3825"/>
      <c r="D23" s="3825"/>
      <c r="E23" s="3825"/>
      <c r="F23" s="3825"/>
      <c r="G23" s="3825"/>
      <c r="H23" s="3825"/>
      <c r="I23" s="3825"/>
      <c r="J23" s="3825"/>
      <c r="K23" s="3825"/>
      <c r="L23" s="3825"/>
    </row>
    <row r="24" spans="1:12">
      <c r="A24" s="3450"/>
      <c r="B24" s="3825"/>
      <c r="C24" s="3825"/>
      <c r="D24" s="3825"/>
      <c r="E24" s="3825"/>
      <c r="F24" s="3825"/>
      <c r="G24" s="3825"/>
      <c r="H24" s="3825"/>
      <c r="I24" s="3825"/>
      <c r="J24" s="3825"/>
      <c r="K24" s="3825"/>
      <c r="L24" s="3825"/>
    </row>
    <row r="25" spans="1:12">
      <c r="A25" s="3450"/>
      <c r="B25" s="3825"/>
      <c r="C25" s="3825"/>
      <c r="D25" s="3825"/>
      <c r="E25" s="3825"/>
      <c r="F25" s="3825"/>
      <c r="G25" s="3825"/>
      <c r="H25" s="3825"/>
      <c r="I25" s="3825"/>
      <c r="J25" s="3825"/>
      <c r="K25" s="3825"/>
      <c r="L25" s="3825"/>
    </row>
    <row r="26" spans="1:12">
      <c r="A26" s="3450"/>
      <c r="B26" s="3825"/>
      <c r="C26" s="3825"/>
      <c r="D26" s="3825"/>
      <c r="E26" s="3825"/>
      <c r="F26" s="3825"/>
      <c r="G26" s="3825"/>
      <c r="H26" s="3825"/>
      <c r="I26" s="3825"/>
      <c r="J26" s="3825"/>
      <c r="K26" s="3825"/>
      <c r="L26" s="3825"/>
    </row>
    <row r="27" spans="1:12">
      <c r="A27" s="3450"/>
      <c r="B27" s="3825"/>
      <c r="C27" s="3825"/>
      <c r="D27" s="3825"/>
      <c r="E27" s="3825"/>
      <c r="F27" s="3825"/>
      <c r="G27" s="3825"/>
      <c r="H27" s="3825"/>
      <c r="I27" s="3825"/>
      <c r="J27" s="3825"/>
      <c r="K27" s="3825"/>
      <c r="L27" s="3825"/>
    </row>
    <row r="28" spans="1:12">
      <c r="A28" s="3450"/>
      <c r="B28" s="3825"/>
      <c r="C28" s="3825"/>
      <c r="D28" s="3825"/>
      <c r="E28" s="3825"/>
      <c r="F28" s="3825"/>
      <c r="G28" s="3825"/>
      <c r="H28" s="3825"/>
      <c r="I28" s="3825"/>
      <c r="J28" s="3825"/>
      <c r="K28" s="3825"/>
      <c r="L28" s="3825"/>
    </row>
    <row r="29" spans="1:12">
      <c r="A29" s="3450"/>
      <c r="B29" s="3825"/>
      <c r="C29" s="3825"/>
      <c r="D29" s="3825"/>
      <c r="E29" s="3825"/>
      <c r="F29" s="3825"/>
      <c r="G29" s="3825"/>
      <c r="H29" s="3825"/>
      <c r="I29" s="3825"/>
      <c r="J29" s="3825"/>
      <c r="K29" s="3825"/>
      <c r="L29" s="3825"/>
    </row>
    <row r="30" spans="1:12">
      <c r="A30" s="3450"/>
      <c r="B30" s="3825"/>
      <c r="C30" s="3825"/>
      <c r="D30" s="3825"/>
      <c r="E30" s="3825"/>
      <c r="F30" s="3825"/>
      <c r="G30" s="3825"/>
      <c r="H30" s="3825"/>
      <c r="I30" s="3825"/>
      <c r="J30" s="3825"/>
      <c r="K30" s="3825"/>
      <c r="L30" s="3825"/>
    </row>
    <row r="31" spans="1:12">
      <c r="A31" s="3450"/>
      <c r="B31" s="3825"/>
      <c r="C31" s="3825"/>
      <c r="D31" s="3825"/>
      <c r="E31" s="3825"/>
      <c r="F31" s="3825"/>
      <c r="G31" s="3825"/>
      <c r="H31" s="3825"/>
      <c r="I31" s="3825"/>
      <c r="J31" s="3825"/>
      <c r="K31" s="3825"/>
      <c r="L31" s="3825"/>
    </row>
    <row r="32" spans="1:12">
      <c r="A32" s="3450"/>
      <c r="B32" s="3825"/>
      <c r="C32" s="3825"/>
      <c r="D32" s="3825"/>
      <c r="E32" s="3825"/>
      <c r="F32" s="3825"/>
      <c r="G32" s="3825"/>
      <c r="H32" s="3825"/>
      <c r="I32" s="3825"/>
      <c r="J32" s="3825"/>
      <c r="K32" s="3825"/>
      <c r="L32" s="3825"/>
    </row>
    <row r="33" spans="1:12">
      <c r="A33" s="3450"/>
      <c r="B33" s="3825"/>
      <c r="C33" s="3825"/>
      <c r="D33" s="3825"/>
      <c r="E33" s="3825"/>
      <c r="F33" s="3825"/>
      <c r="G33" s="3825"/>
      <c r="H33" s="3825"/>
      <c r="I33" s="3825"/>
      <c r="J33" s="3825"/>
      <c r="K33" s="3825"/>
      <c r="L33" s="3825"/>
    </row>
    <row r="34" spans="1:12">
      <c r="A34" s="3450"/>
      <c r="B34" s="3825"/>
      <c r="C34" s="3825"/>
      <c r="D34" s="3825"/>
      <c r="E34" s="3825"/>
      <c r="F34" s="3825"/>
      <c r="G34" s="3825"/>
      <c r="H34" s="3825"/>
      <c r="I34" s="3825"/>
      <c r="J34" s="3825"/>
      <c r="K34" s="3825"/>
      <c r="L34" s="3825"/>
    </row>
    <row r="35" spans="1:12">
      <c r="A35" s="3450"/>
      <c r="B35" s="3825"/>
      <c r="C35" s="3825"/>
      <c r="D35" s="3825"/>
      <c r="E35" s="3825"/>
      <c r="F35" s="3825"/>
      <c r="G35" s="3825"/>
      <c r="H35" s="3825"/>
      <c r="I35" s="3825"/>
      <c r="J35" s="3825"/>
      <c r="K35" s="3825"/>
      <c r="L35" s="3825"/>
    </row>
    <row r="36" spans="1:12">
      <c r="A36" s="3824"/>
      <c r="B36" s="3825"/>
      <c r="C36" s="3825"/>
      <c r="D36" s="3825"/>
      <c r="E36" s="3825"/>
      <c r="F36" s="3825"/>
      <c r="G36" s="3825"/>
      <c r="H36" s="3825"/>
      <c r="I36" s="3825"/>
      <c r="J36" s="3825"/>
      <c r="K36" s="3825"/>
      <c r="L36" s="3825"/>
    </row>
    <row r="37" spans="1:12">
      <c r="A37" s="3824"/>
      <c r="B37" s="3825"/>
      <c r="C37" s="3825"/>
      <c r="D37" s="3825"/>
      <c r="E37" s="3825"/>
      <c r="F37" s="3825"/>
      <c r="G37" s="3825"/>
      <c r="H37" s="3825"/>
      <c r="I37" s="3825"/>
      <c r="J37" s="3825"/>
      <c r="K37" s="3825"/>
      <c r="L37" s="3825"/>
    </row>
    <row r="38" spans="1:12">
      <c r="A38" s="3824"/>
      <c r="B38" s="3825"/>
      <c r="C38" s="3825"/>
      <c r="D38" s="3825"/>
      <c r="E38" s="3825"/>
      <c r="F38" s="3825"/>
      <c r="G38" s="3825"/>
      <c r="H38" s="3825"/>
      <c r="I38" s="3825"/>
      <c r="J38" s="3825"/>
      <c r="K38" s="3825"/>
      <c r="L38" s="3825"/>
    </row>
    <row r="39" spans="1:12">
      <c r="A39" s="3824"/>
      <c r="B39" s="3825"/>
      <c r="C39" s="3825"/>
      <c r="D39" s="3825"/>
      <c r="E39" s="3825"/>
      <c r="F39" s="3825"/>
      <c r="G39" s="3825"/>
      <c r="H39" s="3825"/>
      <c r="I39" s="3825"/>
      <c r="J39" s="3825"/>
      <c r="K39" s="3825"/>
      <c r="L39" s="3825"/>
    </row>
    <row r="40" spans="1:12">
      <c r="A40" s="3824"/>
      <c r="B40" s="3825"/>
      <c r="C40" s="3825"/>
      <c r="D40" s="3825"/>
      <c r="E40" s="3825"/>
      <c r="F40" s="3825"/>
      <c r="G40" s="3825"/>
      <c r="H40" s="3825"/>
      <c r="I40" s="3825"/>
      <c r="J40" s="3825"/>
      <c r="K40" s="3825"/>
      <c r="L40" s="3825"/>
    </row>
    <row r="41" spans="1:12">
      <c r="A41" s="3824"/>
      <c r="B41" s="3825"/>
      <c r="C41" s="3825"/>
      <c r="D41" s="3825"/>
      <c r="E41" s="3825"/>
      <c r="F41" s="3825"/>
      <c r="G41" s="3825"/>
      <c r="H41" s="3825"/>
      <c r="I41" s="3825"/>
      <c r="J41" s="3825"/>
      <c r="K41" s="3825"/>
      <c r="L41" s="3825"/>
    </row>
    <row r="42" spans="1:12">
      <c r="A42" s="3824"/>
      <c r="B42" s="3825"/>
      <c r="C42" s="3825"/>
      <c r="D42" s="3825"/>
      <c r="E42" s="3825"/>
      <c r="F42" s="3825"/>
      <c r="G42" s="3825"/>
      <c r="H42" s="3825"/>
      <c r="I42" s="3825"/>
      <c r="J42" s="3825"/>
      <c r="K42" s="3825"/>
      <c r="L42" s="3825"/>
    </row>
    <row r="43" spans="1:12">
      <c r="A43" s="3824"/>
      <c r="B43" s="3825"/>
      <c r="C43" s="3825"/>
      <c r="D43" s="3825"/>
      <c r="E43" s="3825"/>
      <c r="F43" s="3825"/>
      <c r="G43" s="3825"/>
      <c r="H43" s="3825"/>
      <c r="I43" s="3825"/>
      <c r="J43" s="3825"/>
      <c r="K43" s="3825"/>
      <c r="L43" s="3825"/>
    </row>
    <row r="44" spans="1:12">
      <c r="A44" s="3824"/>
      <c r="B44" s="3825"/>
      <c r="C44" s="3825"/>
      <c r="D44" s="3825"/>
      <c r="E44" s="3825"/>
      <c r="F44" s="3825"/>
      <c r="G44" s="3825"/>
      <c r="H44" s="3825"/>
      <c r="I44" s="3825"/>
      <c r="J44" s="3825"/>
      <c r="K44" s="3825"/>
      <c r="L44" s="3825"/>
    </row>
    <row r="45" spans="1:12">
      <c r="A45" s="3824"/>
      <c r="B45" s="3825"/>
      <c r="C45" s="3825"/>
      <c r="D45" s="3825"/>
      <c r="E45" s="3825"/>
      <c r="F45" s="3825"/>
      <c r="G45" s="3825"/>
      <c r="H45" s="3825"/>
      <c r="I45" s="3825"/>
      <c r="J45" s="3825"/>
      <c r="K45" s="3825"/>
      <c r="L45" s="3825"/>
    </row>
    <row r="46" spans="1:12">
      <c r="A46" s="3824"/>
      <c r="B46" s="3825"/>
      <c r="C46" s="3825"/>
      <c r="D46" s="3825"/>
      <c r="E46" s="3825"/>
      <c r="F46" s="3825"/>
      <c r="G46" s="3825"/>
      <c r="H46" s="3825"/>
      <c r="I46" s="3825"/>
      <c r="J46" s="3825"/>
      <c r="K46" s="3825"/>
      <c r="L46" s="3825"/>
    </row>
    <row r="47" spans="1:12">
      <c r="A47" s="3824"/>
      <c r="B47" s="3825"/>
      <c r="C47" s="3825"/>
      <c r="D47" s="3825"/>
      <c r="E47" s="3825"/>
      <c r="F47" s="3825"/>
      <c r="G47" s="3825"/>
      <c r="H47" s="3825"/>
      <c r="I47" s="3825"/>
      <c r="J47" s="3825"/>
      <c r="K47" s="3825"/>
      <c r="L47" s="3825"/>
    </row>
    <row r="48" spans="1:12">
      <c r="A48" s="3824"/>
      <c r="B48" s="3825"/>
      <c r="C48" s="3825"/>
      <c r="D48" s="3825"/>
      <c r="E48" s="3825"/>
      <c r="F48" s="3825"/>
      <c r="G48" s="3825"/>
      <c r="H48" s="3825"/>
      <c r="I48" s="3825"/>
      <c r="J48" s="3825"/>
      <c r="K48" s="3825"/>
      <c r="L48" s="3825"/>
    </row>
    <row r="49" spans="1:12">
      <c r="A49" s="3824"/>
      <c r="B49" s="3825"/>
      <c r="C49" s="3825"/>
      <c r="D49" s="3825"/>
      <c r="E49" s="3825"/>
      <c r="F49" s="3825"/>
      <c r="G49" s="3825"/>
      <c r="H49" s="3825"/>
      <c r="I49" s="3825"/>
      <c r="J49" s="3825"/>
      <c r="K49" s="3825"/>
      <c r="L49" s="3825"/>
    </row>
    <row r="50" spans="1:12">
      <c r="A50" s="3824"/>
      <c r="B50" s="3825"/>
      <c r="C50" s="3825"/>
      <c r="D50" s="3825"/>
      <c r="E50" s="3825"/>
      <c r="F50" s="3825"/>
      <c r="G50" s="3825"/>
      <c r="H50" s="3825"/>
      <c r="I50" s="3825"/>
      <c r="J50" s="3825"/>
      <c r="K50" s="3825"/>
      <c r="L50" s="3825"/>
    </row>
    <row r="51" spans="1:12">
      <c r="A51" s="3824"/>
      <c r="B51" s="3825"/>
      <c r="C51" s="3825"/>
      <c r="D51" s="3825"/>
      <c r="E51" s="3825"/>
      <c r="F51" s="3825"/>
      <c r="G51" s="3825"/>
      <c r="H51" s="3825"/>
      <c r="I51" s="3825"/>
      <c r="J51" s="3825"/>
      <c r="K51" s="3825"/>
      <c r="L51" s="3825"/>
    </row>
    <row r="52" spans="1:12">
      <c r="A52" s="3824"/>
      <c r="B52" s="3825"/>
      <c r="C52" s="3825"/>
      <c r="D52" s="3825"/>
      <c r="E52" s="3825"/>
      <c r="F52" s="3825"/>
      <c r="G52" s="3825"/>
      <c r="H52" s="3825"/>
      <c r="I52" s="3825"/>
      <c r="J52" s="3825"/>
      <c r="K52" s="3825"/>
      <c r="L52" s="3825"/>
    </row>
    <row r="53" spans="1:12">
      <c r="A53" s="3824"/>
      <c r="B53" s="3825"/>
      <c r="C53" s="3825"/>
      <c r="D53" s="3825"/>
      <c r="E53" s="3825"/>
      <c r="F53" s="3825"/>
      <c r="G53" s="3825"/>
      <c r="H53" s="3825"/>
      <c r="I53" s="3825"/>
      <c r="J53" s="3825"/>
      <c r="K53" s="3825"/>
      <c r="L53" s="3825"/>
    </row>
    <row r="54" spans="1:12">
      <c r="A54" s="3824"/>
      <c r="B54" s="3825"/>
      <c r="C54" s="3825"/>
      <c r="D54" s="3825"/>
      <c r="E54" s="3825"/>
      <c r="F54" s="3825"/>
      <c r="G54" s="3825"/>
      <c r="H54" s="3825"/>
      <c r="I54" s="3825"/>
      <c r="J54" s="3825"/>
      <c r="K54" s="3825"/>
      <c r="L54" s="3825"/>
    </row>
    <row r="55" spans="1:12">
      <c r="A55" s="3824"/>
      <c r="B55" s="3825"/>
      <c r="C55" s="3825"/>
      <c r="D55" s="3825"/>
      <c r="E55" s="3825"/>
      <c r="F55" s="3825"/>
      <c r="G55" s="3825"/>
      <c r="H55" s="3825"/>
      <c r="I55" s="3825"/>
      <c r="J55" s="3825"/>
      <c r="K55" s="3825"/>
      <c r="L55" s="3825"/>
    </row>
    <row r="56" spans="1:12">
      <c r="A56" s="3824"/>
      <c r="B56" s="3825"/>
      <c r="C56" s="3825"/>
      <c r="D56" s="3825"/>
      <c r="E56" s="3825"/>
      <c r="F56" s="3825"/>
      <c r="G56" s="3825"/>
      <c r="H56" s="3825"/>
      <c r="I56" s="3825"/>
      <c r="J56" s="3825"/>
      <c r="K56" s="3825"/>
      <c r="L56" s="3825"/>
    </row>
    <row r="57" spans="1:12">
      <c r="A57" s="3824"/>
      <c r="B57" s="3825"/>
      <c r="C57" s="3825"/>
      <c r="D57" s="3825"/>
      <c r="E57" s="3825"/>
      <c r="F57" s="3825"/>
      <c r="G57" s="3825"/>
      <c r="H57" s="3825"/>
      <c r="I57" s="3825"/>
      <c r="J57" s="3825"/>
      <c r="K57" s="3825"/>
      <c r="L57" s="3825"/>
    </row>
    <row r="58" spans="1:12">
      <c r="A58" s="3824"/>
      <c r="B58" s="3825"/>
      <c r="C58" s="3825"/>
      <c r="D58" s="3825"/>
      <c r="E58" s="3825"/>
      <c r="F58" s="3825"/>
      <c r="G58" s="3825"/>
      <c r="H58" s="3825"/>
      <c r="I58" s="3825"/>
      <c r="J58" s="3825"/>
      <c r="K58" s="3825"/>
      <c r="L58" s="3825"/>
    </row>
    <row r="59" spans="1:12">
      <c r="A59" s="3824"/>
      <c r="B59" s="3825"/>
      <c r="C59" s="3825"/>
      <c r="D59" s="3825"/>
      <c r="E59" s="3825"/>
      <c r="F59" s="3825"/>
      <c r="G59" s="3825"/>
      <c r="H59" s="3825"/>
      <c r="I59" s="3825"/>
      <c r="J59" s="3825"/>
      <c r="K59" s="3825"/>
      <c r="L59" s="3825"/>
    </row>
    <row r="60" spans="1:12">
      <c r="A60" s="3824"/>
      <c r="B60" s="3825"/>
      <c r="C60" s="3825"/>
      <c r="D60" s="3825"/>
      <c r="E60" s="3825"/>
      <c r="F60" s="3825"/>
      <c r="G60" s="3825"/>
      <c r="H60" s="3825"/>
      <c r="I60" s="3825"/>
      <c r="J60" s="3825"/>
      <c r="K60" s="3825"/>
      <c r="L60" s="3825"/>
    </row>
    <row r="61" spans="1:12">
      <c r="A61" s="3824"/>
      <c r="B61" s="3825"/>
      <c r="C61" s="3825"/>
      <c r="D61" s="3825"/>
      <c r="E61" s="3825"/>
      <c r="F61" s="3825"/>
      <c r="G61" s="3825"/>
      <c r="H61" s="3825"/>
      <c r="I61" s="3825"/>
      <c r="J61" s="3825"/>
      <c r="K61" s="3825"/>
      <c r="L61" s="3825"/>
    </row>
    <row r="62" spans="1:12">
      <c r="A62" s="3824"/>
      <c r="B62" s="3825"/>
      <c r="C62" s="3825"/>
      <c r="D62" s="3825"/>
      <c r="E62" s="3825"/>
      <c r="F62" s="3825"/>
      <c r="G62" s="3825"/>
      <c r="H62" s="3825"/>
      <c r="I62" s="3825"/>
      <c r="J62" s="3825"/>
      <c r="K62" s="3825"/>
      <c r="L62" s="3825"/>
    </row>
    <row r="63" spans="1:12">
      <c r="A63" s="3824"/>
      <c r="B63" s="3825"/>
      <c r="C63" s="3825"/>
      <c r="D63" s="3825"/>
      <c r="E63" s="3825"/>
      <c r="F63" s="3825"/>
      <c r="G63" s="3825"/>
      <c r="H63" s="3825"/>
      <c r="I63" s="3825"/>
      <c r="J63" s="3825"/>
      <c r="K63" s="3825"/>
      <c r="L63" s="3825"/>
    </row>
    <row r="64" spans="1:12">
      <c r="A64" s="3824"/>
      <c r="B64" s="3825"/>
      <c r="C64" s="3825"/>
      <c r="D64" s="3825"/>
      <c r="E64" s="3825"/>
      <c r="F64" s="3825"/>
      <c r="G64" s="3825"/>
      <c r="H64" s="3825"/>
      <c r="I64" s="3825"/>
      <c r="J64" s="3825"/>
      <c r="K64" s="3825"/>
      <c r="L64" s="3825"/>
    </row>
    <row r="65" spans="1:12">
      <c r="A65" s="3824"/>
      <c r="B65" s="3825"/>
      <c r="C65" s="3825"/>
      <c r="D65" s="3825"/>
      <c r="E65" s="3825"/>
      <c r="F65" s="3825"/>
      <c r="G65" s="3825"/>
      <c r="H65" s="3825"/>
      <c r="I65" s="3825"/>
      <c r="J65" s="3825"/>
      <c r="K65" s="3825"/>
      <c r="L65" s="3825"/>
    </row>
    <row r="66" spans="1:12">
      <c r="A66" s="3824"/>
      <c r="B66" s="3825"/>
      <c r="C66" s="3825"/>
      <c r="D66" s="3825"/>
      <c r="E66" s="3825"/>
      <c r="F66" s="3825"/>
      <c r="G66" s="3825"/>
      <c r="H66" s="3825"/>
      <c r="I66" s="3825"/>
      <c r="J66" s="3825"/>
      <c r="K66" s="3825"/>
      <c r="L66" s="3825"/>
    </row>
    <row r="67" spans="1:12">
      <c r="A67" s="3824"/>
      <c r="B67" s="3825"/>
      <c r="C67" s="3825"/>
      <c r="D67" s="3825"/>
      <c r="E67" s="3825"/>
      <c r="F67" s="3825"/>
      <c r="G67" s="3825"/>
      <c r="H67" s="3825"/>
      <c r="I67" s="3825"/>
      <c r="J67" s="3825"/>
      <c r="K67" s="3825"/>
      <c r="L67" s="3825"/>
    </row>
    <row r="68" spans="1:12">
      <c r="A68" s="3824"/>
      <c r="B68" s="3825"/>
      <c r="C68" s="3825"/>
      <c r="D68" s="3825"/>
      <c r="E68" s="3825"/>
      <c r="F68" s="3825"/>
      <c r="G68" s="3825"/>
      <c r="H68" s="3825"/>
      <c r="I68" s="3825"/>
      <c r="J68" s="3825"/>
      <c r="K68" s="3825"/>
      <c r="L68" s="3825"/>
    </row>
    <row r="69" spans="1:12">
      <c r="A69" s="3824"/>
      <c r="B69" s="3825"/>
      <c r="C69" s="3825"/>
      <c r="D69" s="3825"/>
      <c r="E69" s="3825"/>
      <c r="F69" s="3825"/>
      <c r="G69" s="3825"/>
      <c r="H69" s="3825"/>
      <c r="I69" s="3825"/>
      <c r="J69" s="3825"/>
      <c r="K69" s="3825"/>
      <c r="L69" s="3825"/>
    </row>
    <row r="70" spans="1:12">
      <c r="A70" s="3824"/>
      <c r="B70" s="3825"/>
      <c r="C70" s="3825"/>
      <c r="D70" s="3825"/>
      <c r="E70" s="3825"/>
      <c r="F70" s="3825"/>
      <c r="G70" s="3825"/>
      <c r="H70" s="3825"/>
      <c r="I70" s="3825"/>
      <c r="J70" s="3825"/>
      <c r="K70" s="3825"/>
      <c r="L70" s="3825"/>
    </row>
    <row r="71" spans="1:12">
      <c r="A71" s="3824"/>
      <c r="B71" s="3825"/>
      <c r="C71" s="3825"/>
      <c r="D71" s="3825"/>
      <c r="E71" s="3825"/>
      <c r="F71" s="3825"/>
      <c r="G71" s="3825"/>
      <c r="H71" s="3825"/>
      <c r="I71" s="3825"/>
      <c r="J71" s="3825"/>
      <c r="K71" s="3825"/>
      <c r="L71" s="3825"/>
    </row>
    <row r="72" spans="1:12">
      <c r="A72" s="3824"/>
      <c r="B72" s="3825"/>
      <c r="C72" s="3825"/>
      <c r="D72" s="3825"/>
      <c r="E72" s="3825"/>
      <c r="F72" s="3825"/>
      <c r="G72" s="3825"/>
      <c r="H72" s="3825"/>
      <c r="I72" s="3825"/>
      <c r="J72" s="3825"/>
      <c r="K72" s="3825"/>
      <c r="L72" s="3825"/>
    </row>
    <row r="73" spans="1:12">
      <c r="A73" s="3824"/>
      <c r="B73" s="3825"/>
      <c r="C73" s="3825"/>
      <c r="D73" s="3825"/>
      <c r="E73" s="3825"/>
      <c r="F73" s="3825"/>
      <c r="G73" s="3825"/>
      <c r="H73" s="3825"/>
      <c r="I73" s="3825"/>
      <c r="J73" s="3825"/>
      <c r="K73" s="3825"/>
      <c r="L73" s="3825"/>
    </row>
    <row r="74" spans="1:12">
      <c r="A74" s="3824"/>
      <c r="B74" s="3825"/>
      <c r="C74" s="3825"/>
      <c r="D74" s="3825"/>
      <c r="E74" s="3825"/>
      <c r="F74" s="3825"/>
      <c r="G74" s="3825"/>
      <c r="H74" s="3825"/>
      <c r="I74" s="3825"/>
      <c r="J74" s="3825"/>
      <c r="K74" s="3825"/>
      <c r="L74" s="3825"/>
    </row>
    <row r="75" spans="1:12">
      <c r="A75" s="3824"/>
      <c r="B75" s="3825"/>
      <c r="C75" s="3825"/>
      <c r="D75" s="3825"/>
      <c r="E75" s="3825"/>
      <c r="F75" s="3825"/>
      <c r="G75" s="3825"/>
      <c r="H75" s="3825"/>
      <c r="I75" s="3825"/>
      <c r="J75" s="3825"/>
      <c r="K75" s="3825"/>
      <c r="L75" s="3825"/>
    </row>
    <row r="76" spans="1:12">
      <c r="A76" s="3824"/>
      <c r="B76" s="3825"/>
      <c r="C76" s="3825"/>
      <c r="D76" s="3825"/>
      <c r="E76" s="3825"/>
      <c r="F76" s="3825"/>
      <c r="G76" s="3825"/>
      <c r="H76" s="3825"/>
      <c r="I76" s="3825"/>
      <c r="J76" s="3825"/>
      <c r="K76" s="3825"/>
      <c r="L76" s="3825"/>
    </row>
    <row r="77" spans="1:12">
      <c r="A77" s="3824"/>
      <c r="B77" s="3825"/>
      <c r="C77" s="3825"/>
      <c r="D77" s="3825"/>
      <c r="E77" s="3825"/>
      <c r="F77" s="3825"/>
      <c r="G77" s="3825"/>
      <c r="H77" s="3825"/>
      <c r="I77" s="3825"/>
      <c r="J77" s="3825"/>
      <c r="K77" s="3825"/>
      <c r="L77" s="3825"/>
    </row>
    <row r="78" spans="1:12">
      <c r="A78" s="3824"/>
      <c r="B78" s="3825"/>
      <c r="C78" s="3825"/>
      <c r="D78" s="3825"/>
      <c r="E78" s="3825"/>
      <c r="F78" s="3825"/>
      <c r="G78" s="3825"/>
      <c r="H78" s="3825"/>
      <c r="I78" s="3825"/>
      <c r="J78" s="3825"/>
      <c r="K78" s="3825"/>
      <c r="L78" s="3825"/>
    </row>
    <row r="79" spans="1:12">
      <c r="A79" s="3824"/>
      <c r="B79" s="3825"/>
      <c r="C79" s="3825"/>
      <c r="D79" s="3825"/>
      <c r="E79" s="3825"/>
      <c r="F79" s="3825"/>
      <c r="G79" s="3825"/>
      <c r="H79" s="3825"/>
      <c r="I79" s="3825"/>
      <c r="J79" s="3825"/>
      <c r="K79" s="3825"/>
      <c r="L79" s="3825"/>
    </row>
    <row r="80" spans="1:12">
      <c r="A80" s="3824"/>
      <c r="B80" s="3825"/>
      <c r="C80" s="3825"/>
      <c r="D80" s="3825"/>
      <c r="E80" s="3825"/>
      <c r="F80" s="3825"/>
      <c r="G80" s="3825"/>
      <c r="H80" s="3825"/>
      <c r="I80" s="3825"/>
      <c r="J80" s="3825"/>
      <c r="K80" s="3825"/>
      <c r="L80" s="3825"/>
    </row>
    <row r="81" spans="1:12">
      <c r="A81" s="3824"/>
      <c r="B81" s="3825"/>
      <c r="C81" s="3825"/>
      <c r="D81" s="3825"/>
      <c r="E81" s="3825"/>
      <c r="F81" s="3825"/>
      <c r="G81" s="3825"/>
      <c r="H81" s="3825"/>
      <c r="I81" s="3825"/>
      <c r="J81" s="3825"/>
      <c r="K81" s="3825"/>
      <c r="L81" s="3825"/>
    </row>
    <row r="82" spans="1:12">
      <c r="A82" s="3824"/>
      <c r="B82" s="3825"/>
      <c r="C82" s="3825"/>
      <c r="D82" s="3825"/>
      <c r="E82" s="3825"/>
      <c r="F82" s="3825"/>
      <c r="G82" s="3825"/>
      <c r="H82" s="3825"/>
      <c r="I82" s="3825"/>
      <c r="J82" s="3825"/>
      <c r="K82" s="3825"/>
      <c r="L82" s="3825"/>
    </row>
    <row r="83" spans="1:12">
      <c r="A83" s="3824"/>
      <c r="B83" s="3825"/>
      <c r="C83" s="3825"/>
      <c r="D83" s="3825"/>
      <c r="E83" s="3825"/>
      <c r="F83" s="3825"/>
      <c r="G83" s="3825"/>
      <c r="H83" s="3825"/>
      <c r="I83" s="3825"/>
      <c r="J83" s="3825"/>
      <c r="K83" s="3825"/>
      <c r="L83" s="3825"/>
    </row>
    <row r="84" spans="1:12">
      <c r="A84" s="3824"/>
      <c r="B84" s="3825"/>
      <c r="C84" s="3825"/>
      <c r="D84" s="3825"/>
      <c r="E84" s="3825"/>
      <c r="F84" s="3825"/>
      <c r="G84" s="3825"/>
      <c r="H84" s="3825"/>
      <c r="I84" s="3825"/>
      <c r="J84" s="3825"/>
      <c r="K84" s="3825"/>
      <c r="L84" s="3825"/>
    </row>
    <row r="85" spans="1:12">
      <c r="A85" s="3824"/>
      <c r="B85" s="3825"/>
      <c r="C85" s="3825"/>
      <c r="D85" s="3825"/>
      <c r="E85" s="3825"/>
      <c r="F85" s="3825"/>
      <c r="G85" s="3825"/>
      <c r="H85" s="3825"/>
      <c r="I85" s="3825"/>
      <c r="J85" s="3825"/>
      <c r="K85" s="3825"/>
      <c r="L85" s="3825"/>
    </row>
    <row r="86" spans="1:12">
      <c r="A86" s="3824"/>
      <c r="B86" s="3825"/>
      <c r="C86" s="3825"/>
      <c r="D86" s="3825"/>
      <c r="E86" s="3825"/>
      <c r="F86" s="3825"/>
      <c r="G86" s="3825"/>
      <c r="H86" s="3825"/>
      <c r="I86" s="3825"/>
      <c r="J86" s="3825"/>
      <c r="K86" s="3825"/>
      <c r="L86" s="3825"/>
    </row>
    <row r="87" spans="1:12">
      <c r="A87" s="3824"/>
      <c r="B87" s="3825"/>
      <c r="C87" s="3825"/>
      <c r="D87" s="3825"/>
      <c r="E87" s="3825"/>
      <c r="F87" s="3825"/>
      <c r="G87" s="3825"/>
      <c r="H87" s="3825"/>
      <c r="I87" s="3825"/>
      <c r="J87" s="3825"/>
      <c r="K87" s="3825"/>
      <c r="L87" s="3825"/>
    </row>
    <row r="88" spans="1:12">
      <c r="A88" s="3824"/>
      <c r="B88" s="3825"/>
      <c r="C88" s="3825"/>
      <c r="D88" s="3825"/>
      <c r="E88" s="3825"/>
      <c r="F88" s="3825"/>
      <c r="G88" s="3825"/>
      <c r="H88" s="3825"/>
      <c r="I88" s="3825"/>
      <c r="J88" s="3825"/>
      <c r="K88" s="3825"/>
      <c r="L88" s="3825"/>
    </row>
    <row r="89" spans="1:12">
      <c r="A89" s="3824"/>
      <c r="B89" s="3825"/>
      <c r="C89" s="3825"/>
      <c r="D89" s="3825"/>
      <c r="E89" s="3825"/>
      <c r="F89" s="3825"/>
      <c r="G89" s="3825"/>
      <c r="H89" s="3825"/>
      <c r="I89" s="3825"/>
      <c r="J89" s="3825"/>
      <c r="K89" s="3825"/>
      <c r="L89" s="3825"/>
    </row>
    <row r="90" spans="1:12">
      <c r="A90" s="3824"/>
      <c r="B90" s="3825"/>
      <c r="C90" s="3825"/>
      <c r="D90" s="3825"/>
      <c r="E90" s="3825"/>
      <c r="F90" s="3825"/>
      <c r="G90" s="3825"/>
      <c r="H90" s="3825"/>
      <c r="I90" s="3825"/>
      <c r="J90" s="3825"/>
      <c r="K90" s="3825"/>
      <c r="L90" s="3825"/>
    </row>
    <row r="91" spans="1:12">
      <c r="A91" s="3824"/>
      <c r="B91" s="3825"/>
      <c r="C91" s="3825"/>
      <c r="D91" s="3825"/>
      <c r="E91" s="3825"/>
      <c r="F91" s="3825"/>
      <c r="G91" s="3825"/>
      <c r="H91" s="3825"/>
      <c r="I91" s="3825"/>
      <c r="J91" s="3825"/>
      <c r="K91" s="3825"/>
      <c r="L91" s="3825"/>
    </row>
    <row r="92" spans="1:12">
      <c r="A92" s="3824"/>
      <c r="B92" s="3825"/>
      <c r="C92" s="3825"/>
      <c r="D92" s="3825"/>
      <c r="E92" s="3825"/>
      <c r="F92" s="3825"/>
      <c r="G92" s="3825"/>
      <c r="H92" s="3825"/>
      <c r="I92" s="3825"/>
      <c r="J92" s="3825"/>
      <c r="K92" s="3825"/>
      <c r="L92" s="3825"/>
    </row>
    <row r="93" spans="1:12">
      <c r="A93" s="3824"/>
      <c r="B93" s="3825"/>
      <c r="C93" s="3825"/>
      <c r="D93" s="3825"/>
      <c r="E93" s="3825"/>
      <c r="F93" s="3825"/>
      <c r="G93" s="3825"/>
      <c r="H93" s="3825"/>
      <c r="I93" s="3825"/>
      <c r="J93" s="3825"/>
      <c r="K93" s="3825"/>
      <c r="L93" s="3825"/>
    </row>
    <row r="94" spans="1:12">
      <c r="A94" s="3824"/>
      <c r="B94" s="3825"/>
      <c r="C94" s="3825"/>
      <c r="D94" s="3825"/>
      <c r="E94" s="3825"/>
      <c r="F94" s="3825"/>
      <c r="G94" s="3825"/>
      <c r="H94" s="3825"/>
      <c r="I94" s="3825"/>
      <c r="J94" s="3825"/>
      <c r="K94" s="3825"/>
      <c r="L94" s="3825"/>
    </row>
    <row r="95" spans="1:12">
      <c r="A95" s="3824"/>
      <c r="B95" s="3825"/>
      <c r="C95" s="3825"/>
      <c r="D95" s="3825"/>
      <c r="E95" s="3825"/>
      <c r="F95" s="3825"/>
      <c r="G95" s="3825"/>
      <c r="H95" s="3825"/>
      <c r="I95" s="3825"/>
      <c r="J95" s="3825"/>
      <c r="K95" s="3825"/>
      <c r="L95" s="3825"/>
    </row>
    <row r="96" spans="1:12">
      <c r="A96" s="3824"/>
      <c r="B96" s="3825"/>
      <c r="C96" s="3825"/>
      <c r="D96" s="3825"/>
      <c r="E96" s="3825"/>
      <c r="F96" s="3825"/>
      <c r="G96" s="3825"/>
      <c r="H96" s="3825"/>
      <c r="I96" s="3825"/>
      <c r="J96" s="3825"/>
      <c r="K96" s="3825"/>
      <c r="L96" s="3825"/>
    </row>
  </sheetData>
  <mergeCells count="1112">
    <mergeCell ref="J49"/>
    <mergeCell ref="K49"/>
    <mergeCell ref="L49"/>
    <mergeCell ref="A49"/>
    <mergeCell ref="B49"/>
    <mergeCell ref="C49"/>
    <mergeCell ref="D49"/>
    <mergeCell ref="E49"/>
    <mergeCell ref="F49"/>
    <mergeCell ref="G49"/>
    <mergeCell ref="H49"/>
    <mergeCell ref="I49"/>
    <mergeCell ref="J50"/>
    <mergeCell ref="K50"/>
    <mergeCell ref="L50"/>
    <mergeCell ref="A51"/>
    <mergeCell ref="B51"/>
    <mergeCell ref="C51"/>
    <mergeCell ref="D51"/>
    <mergeCell ref="E51"/>
    <mergeCell ref="F51"/>
    <mergeCell ref="G51"/>
    <mergeCell ref="H51"/>
    <mergeCell ref="I51"/>
    <mergeCell ref="J51"/>
    <mergeCell ref="K51"/>
    <mergeCell ref="L51"/>
    <mergeCell ref="A50"/>
    <mergeCell ref="B50"/>
    <mergeCell ref="C50"/>
    <mergeCell ref="D50"/>
    <mergeCell ref="E50"/>
    <mergeCell ref="F50"/>
    <mergeCell ref="G50"/>
    <mergeCell ref="H50"/>
    <mergeCell ref="I50"/>
    <mergeCell ref="J52"/>
    <mergeCell ref="K52"/>
    <mergeCell ref="L52"/>
    <mergeCell ref="A53"/>
    <mergeCell ref="B53"/>
    <mergeCell ref="C53"/>
    <mergeCell ref="D53"/>
    <mergeCell ref="E53"/>
    <mergeCell ref="F53"/>
    <mergeCell ref="G53"/>
    <mergeCell ref="H53"/>
    <mergeCell ref="I53"/>
    <mergeCell ref="J53"/>
    <mergeCell ref="K53"/>
    <mergeCell ref="L53"/>
    <mergeCell ref="A52"/>
    <mergeCell ref="B52"/>
    <mergeCell ref="C52"/>
    <mergeCell ref="D52"/>
    <mergeCell ref="E52"/>
    <mergeCell ref="F52"/>
    <mergeCell ref="G52"/>
    <mergeCell ref="H52"/>
    <mergeCell ref="I52"/>
    <mergeCell ref="J54"/>
    <mergeCell ref="K54"/>
    <mergeCell ref="L54"/>
    <mergeCell ref="A55"/>
    <mergeCell ref="B55"/>
    <mergeCell ref="C55"/>
    <mergeCell ref="D55"/>
    <mergeCell ref="E55"/>
    <mergeCell ref="F55"/>
    <mergeCell ref="G55"/>
    <mergeCell ref="H55"/>
    <mergeCell ref="I55"/>
    <mergeCell ref="J55"/>
    <mergeCell ref="K55"/>
    <mergeCell ref="L55"/>
    <mergeCell ref="A54"/>
    <mergeCell ref="B54"/>
    <mergeCell ref="C54"/>
    <mergeCell ref="D54"/>
    <mergeCell ref="E54"/>
    <mergeCell ref="F54"/>
    <mergeCell ref="G54"/>
    <mergeCell ref="H54"/>
    <mergeCell ref="I54"/>
    <mergeCell ref="J56"/>
    <mergeCell ref="K56"/>
    <mergeCell ref="L56"/>
    <mergeCell ref="A57"/>
    <mergeCell ref="B57"/>
    <mergeCell ref="C57"/>
    <mergeCell ref="D57"/>
    <mergeCell ref="E57"/>
    <mergeCell ref="F57"/>
    <mergeCell ref="G57"/>
    <mergeCell ref="H57"/>
    <mergeCell ref="I57"/>
    <mergeCell ref="J57"/>
    <mergeCell ref="K57"/>
    <mergeCell ref="L57"/>
    <mergeCell ref="A56"/>
    <mergeCell ref="B56"/>
    <mergeCell ref="C56"/>
    <mergeCell ref="D56"/>
    <mergeCell ref="E56"/>
    <mergeCell ref="F56"/>
    <mergeCell ref="G56"/>
    <mergeCell ref="H56"/>
    <mergeCell ref="I56"/>
    <mergeCell ref="J58"/>
    <mergeCell ref="K58"/>
    <mergeCell ref="L58"/>
    <mergeCell ref="A59"/>
    <mergeCell ref="B59"/>
    <mergeCell ref="C59"/>
    <mergeCell ref="D59"/>
    <mergeCell ref="E59"/>
    <mergeCell ref="F59"/>
    <mergeCell ref="G59"/>
    <mergeCell ref="H59"/>
    <mergeCell ref="I59"/>
    <mergeCell ref="J59"/>
    <mergeCell ref="K59"/>
    <mergeCell ref="L59"/>
    <mergeCell ref="A58"/>
    <mergeCell ref="B58"/>
    <mergeCell ref="C58"/>
    <mergeCell ref="D58"/>
    <mergeCell ref="E58"/>
    <mergeCell ref="F58"/>
    <mergeCell ref="G58"/>
    <mergeCell ref="H58"/>
    <mergeCell ref="I58"/>
    <mergeCell ref="J60"/>
    <mergeCell ref="K60"/>
    <mergeCell ref="L60"/>
    <mergeCell ref="A61"/>
    <mergeCell ref="B61"/>
    <mergeCell ref="C61"/>
    <mergeCell ref="D61"/>
    <mergeCell ref="E61"/>
    <mergeCell ref="F61"/>
    <mergeCell ref="G61"/>
    <mergeCell ref="H61"/>
    <mergeCell ref="I61"/>
    <mergeCell ref="J61"/>
    <mergeCell ref="K61"/>
    <mergeCell ref="L61"/>
    <mergeCell ref="A60"/>
    <mergeCell ref="B60"/>
    <mergeCell ref="C60"/>
    <mergeCell ref="D60"/>
    <mergeCell ref="E60"/>
    <mergeCell ref="F60"/>
    <mergeCell ref="G60"/>
    <mergeCell ref="H60"/>
    <mergeCell ref="I60"/>
    <mergeCell ref="J62"/>
    <mergeCell ref="K62"/>
    <mergeCell ref="L62"/>
    <mergeCell ref="A63"/>
    <mergeCell ref="B63"/>
    <mergeCell ref="C63"/>
    <mergeCell ref="D63"/>
    <mergeCell ref="E63"/>
    <mergeCell ref="F63"/>
    <mergeCell ref="G63"/>
    <mergeCell ref="H63"/>
    <mergeCell ref="I63"/>
    <mergeCell ref="J63"/>
    <mergeCell ref="K63"/>
    <mergeCell ref="L63"/>
    <mergeCell ref="A62"/>
    <mergeCell ref="B62"/>
    <mergeCell ref="C62"/>
    <mergeCell ref="D62"/>
    <mergeCell ref="E62"/>
    <mergeCell ref="F62"/>
    <mergeCell ref="G62"/>
    <mergeCell ref="H62"/>
    <mergeCell ref="I62"/>
    <mergeCell ref="J64"/>
    <mergeCell ref="K64"/>
    <mergeCell ref="L64"/>
    <mergeCell ref="A65"/>
    <mergeCell ref="B65"/>
    <mergeCell ref="C65"/>
    <mergeCell ref="D65"/>
    <mergeCell ref="E65"/>
    <mergeCell ref="F65"/>
    <mergeCell ref="G65"/>
    <mergeCell ref="H65"/>
    <mergeCell ref="I65"/>
    <mergeCell ref="J65"/>
    <mergeCell ref="K65"/>
    <mergeCell ref="L65"/>
    <mergeCell ref="A64"/>
    <mergeCell ref="B64"/>
    <mergeCell ref="C64"/>
    <mergeCell ref="D64"/>
    <mergeCell ref="E64"/>
    <mergeCell ref="F64"/>
    <mergeCell ref="G64"/>
    <mergeCell ref="H64"/>
    <mergeCell ref="I64"/>
    <mergeCell ref="J66"/>
    <mergeCell ref="K66"/>
    <mergeCell ref="L66"/>
    <mergeCell ref="A67"/>
    <mergeCell ref="B67"/>
    <mergeCell ref="C67"/>
    <mergeCell ref="D67"/>
    <mergeCell ref="E67"/>
    <mergeCell ref="F67"/>
    <mergeCell ref="G67"/>
    <mergeCell ref="H67"/>
    <mergeCell ref="I67"/>
    <mergeCell ref="J67"/>
    <mergeCell ref="K67"/>
    <mergeCell ref="L67"/>
    <mergeCell ref="A66"/>
    <mergeCell ref="B66"/>
    <mergeCell ref="C66"/>
    <mergeCell ref="D66"/>
    <mergeCell ref="E66"/>
    <mergeCell ref="F66"/>
    <mergeCell ref="G66"/>
    <mergeCell ref="H66"/>
    <mergeCell ref="I66"/>
    <mergeCell ref="J68"/>
    <mergeCell ref="K68"/>
    <mergeCell ref="L68"/>
    <mergeCell ref="A69"/>
    <mergeCell ref="B69"/>
    <mergeCell ref="C69"/>
    <mergeCell ref="D69"/>
    <mergeCell ref="E69"/>
    <mergeCell ref="F69"/>
    <mergeCell ref="G69"/>
    <mergeCell ref="H69"/>
    <mergeCell ref="I69"/>
    <mergeCell ref="J69"/>
    <mergeCell ref="K69"/>
    <mergeCell ref="L69"/>
    <mergeCell ref="A68"/>
    <mergeCell ref="B68"/>
    <mergeCell ref="C68"/>
    <mergeCell ref="D68"/>
    <mergeCell ref="E68"/>
    <mergeCell ref="F68"/>
    <mergeCell ref="G68"/>
    <mergeCell ref="H68"/>
    <mergeCell ref="I68"/>
    <mergeCell ref="J70"/>
    <mergeCell ref="K70"/>
    <mergeCell ref="L70"/>
    <mergeCell ref="A71"/>
    <mergeCell ref="B71"/>
    <mergeCell ref="C71"/>
    <mergeCell ref="D71"/>
    <mergeCell ref="E71"/>
    <mergeCell ref="F71"/>
    <mergeCell ref="G71"/>
    <mergeCell ref="H71"/>
    <mergeCell ref="I71"/>
    <mergeCell ref="J71"/>
    <mergeCell ref="K71"/>
    <mergeCell ref="L71"/>
    <mergeCell ref="A70"/>
    <mergeCell ref="B70"/>
    <mergeCell ref="C70"/>
    <mergeCell ref="D70"/>
    <mergeCell ref="E70"/>
    <mergeCell ref="F70"/>
    <mergeCell ref="G70"/>
    <mergeCell ref="H70"/>
    <mergeCell ref="I70"/>
    <mergeCell ref="J72"/>
    <mergeCell ref="K72"/>
    <mergeCell ref="L72"/>
    <mergeCell ref="A73"/>
    <mergeCell ref="B73"/>
    <mergeCell ref="C73"/>
    <mergeCell ref="D73"/>
    <mergeCell ref="E73"/>
    <mergeCell ref="F73"/>
    <mergeCell ref="G73"/>
    <mergeCell ref="H73"/>
    <mergeCell ref="I73"/>
    <mergeCell ref="J73"/>
    <mergeCell ref="K73"/>
    <mergeCell ref="L73"/>
    <mergeCell ref="A72"/>
    <mergeCell ref="B72"/>
    <mergeCell ref="C72"/>
    <mergeCell ref="D72"/>
    <mergeCell ref="E72"/>
    <mergeCell ref="F72"/>
    <mergeCell ref="G72"/>
    <mergeCell ref="H72"/>
    <mergeCell ref="I72"/>
    <mergeCell ref="J74"/>
    <mergeCell ref="K74"/>
    <mergeCell ref="L74"/>
    <mergeCell ref="A75"/>
    <mergeCell ref="B75"/>
    <mergeCell ref="C75"/>
    <mergeCell ref="D75"/>
    <mergeCell ref="E75"/>
    <mergeCell ref="F75"/>
    <mergeCell ref="G75"/>
    <mergeCell ref="H75"/>
    <mergeCell ref="I75"/>
    <mergeCell ref="J75"/>
    <mergeCell ref="K75"/>
    <mergeCell ref="L75"/>
    <mergeCell ref="A74"/>
    <mergeCell ref="B74"/>
    <mergeCell ref="C74"/>
    <mergeCell ref="D74"/>
    <mergeCell ref="E74"/>
    <mergeCell ref="F74"/>
    <mergeCell ref="G74"/>
    <mergeCell ref="H74"/>
    <mergeCell ref="I74"/>
    <mergeCell ref="J76"/>
    <mergeCell ref="K76"/>
    <mergeCell ref="L76"/>
    <mergeCell ref="A77"/>
    <mergeCell ref="B77"/>
    <mergeCell ref="C77"/>
    <mergeCell ref="D77"/>
    <mergeCell ref="E77"/>
    <mergeCell ref="F77"/>
    <mergeCell ref="G77"/>
    <mergeCell ref="H77"/>
    <mergeCell ref="I77"/>
    <mergeCell ref="J77"/>
    <mergeCell ref="K77"/>
    <mergeCell ref="L77"/>
    <mergeCell ref="A76"/>
    <mergeCell ref="B76"/>
    <mergeCell ref="C76"/>
    <mergeCell ref="D76"/>
    <mergeCell ref="E76"/>
    <mergeCell ref="F76"/>
    <mergeCell ref="G76"/>
    <mergeCell ref="H76"/>
    <mergeCell ref="I76"/>
    <mergeCell ref="J78"/>
    <mergeCell ref="K78"/>
    <mergeCell ref="L78"/>
    <mergeCell ref="A79"/>
    <mergeCell ref="B79"/>
    <mergeCell ref="C79"/>
    <mergeCell ref="D79"/>
    <mergeCell ref="E79"/>
    <mergeCell ref="F79"/>
    <mergeCell ref="G79"/>
    <mergeCell ref="H79"/>
    <mergeCell ref="I79"/>
    <mergeCell ref="J79"/>
    <mergeCell ref="K79"/>
    <mergeCell ref="L79"/>
    <mergeCell ref="A78"/>
    <mergeCell ref="B78"/>
    <mergeCell ref="C78"/>
    <mergeCell ref="D78"/>
    <mergeCell ref="E78"/>
    <mergeCell ref="F78"/>
    <mergeCell ref="G78"/>
    <mergeCell ref="H78"/>
    <mergeCell ref="I78"/>
    <mergeCell ref="J80"/>
    <mergeCell ref="K80"/>
    <mergeCell ref="L80"/>
    <mergeCell ref="A81"/>
    <mergeCell ref="B81"/>
    <mergeCell ref="C81"/>
    <mergeCell ref="D81"/>
    <mergeCell ref="E81"/>
    <mergeCell ref="F81"/>
    <mergeCell ref="G81"/>
    <mergeCell ref="H81"/>
    <mergeCell ref="I81"/>
    <mergeCell ref="J81"/>
    <mergeCell ref="K81"/>
    <mergeCell ref="L81"/>
    <mergeCell ref="A80"/>
    <mergeCell ref="B80"/>
    <mergeCell ref="C80"/>
    <mergeCell ref="D80"/>
    <mergeCell ref="E80"/>
    <mergeCell ref="F80"/>
    <mergeCell ref="G80"/>
    <mergeCell ref="H80"/>
    <mergeCell ref="I80"/>
    <mergeCell ref="J82"/>
    <mergeCell ref="K82"/>
    <mergeCell ref="L82"/>
    <mergeCell ref="A83"/>
    <mergeCell ref="B83"/>
    <mergeCell ref="C83"/>
    <mergeCell ref="D83"/>
    <mergeCell ref="E83"/>
    <mergeCell ref="F83"/>
    <mergeCell ref="G83"/>
    <mergeCell ref="H83"/>
    <mergeCell ref="I83"/>
    <mergeCell ref="J83"/>
    <mergeCell ref="K83"/>
    <mergeCell ref="L83"/>
    <mergeCell ref="A82"/>
    <mergeCell ref="B82"/>
    <mergeCell ref="C82"/>
    <mergeCell ref="D82"/>
    <mergeCell ref="E82"/>
    <mergeCell ref="F82"/>
    <mergeCell ref="G82"/>
    <mergeCell ref="H82"/>
    <mergeCell ref="I82"/>
    <mergeCell ref="K84"/>
    <mergeCell ref="L84"/>
    <mergeCell ref="A85"/>
    <mergeCell ref="B85"/>
    <mergeCell ref="C85"/>
    <mergeCell ref="D85"/>
    <mergeCell ref="E85"/>
    <mergeCell ref="F85"/>
    <mergeCell ref="G85"/>
    <mergeCell ref="H85"/>
    <mergeCell ref="I85"/>
    <mergeCell ref="J85"/>
    <mergeCell ref="K85"/>
    <mergeCell ref="L85"/>
    <mergeCell ref="A84"/>
    <mergeCell ref="B84"/>
    <mergeCell ref="C84"/>
    <mergeCell ref="D84"/>
    <mergeCell ref="E84"/>
    <mergeCell ref="F84"/>
    <mergeCell ref="G84"/>
    <mergeCell ref="H84"/>
    <mergeCell ref="I84"/>
    <mergeCell ref="A87"/>
    <mergeCell ref="B87"/>
    <mergeCell ref="C87"/>
    <mergeCell ref="D87"/>
    <mergeCell ref="E87"/>
    <mergeCell ref="F87"/>
    <mergeCell ref="G87"/>
    <mergeCell ref="H87"/>
    <mergeCell ref="I87"/>
    <mergeCell ref="J87"/>
    <mergeCell ref="K87"/>
    <mergeCell ref="L87"/>
    <mergeCell ref="A86"/>
    <mergeCell ref="B86"/>
    <mergeCell ref="C86"/>
    <mergeCell ref="D86"/>
    <mergeCell ref="E86"/>
    <mergeCell ref="F86"/>
    <mergeCell ref="G86"/>
    <mergeCell ref="H86"/>
    <mergeCell ref="I86"/>
    <mergeCell ref="A89"/>
    <mergeCell ref="B89"/>
    <mergeCell ref="C89"/>
    <mergeCell ref="D89"/>
    <mergeCell ref="E89"/>
    <mergeCell ref="F89"/>
    <mergeCell ref="G89"/>
    <mergeCell ref="H89"/>
    <mergeCell ref="I89"/>
    <mergeCell ref="J89"/>
    <mergeCell ref="K89"/>
    <mergeCell ref="L89"/>
    <mergeCell ref="A88"/>
    <mergeCell ref="B88"/>
    <mergeCell ref="C88"/>
    <mergeCell ref="D88"/>
    <mergeCell ref="E88"/>
    <mergeCell ref="F88"/>
    <mergeCell ref="G88"/>
    <mergeCell ref="H88"/>
    <mergeCell ref="I88"/>
    <mergeCell ref="A91"/>
    <mergeCell ref="B91"/>
    <mergeCell ref="C91"/>
    <mergeCell ref="D91"/>
    <mergeCell ref="E91"/>
    <mergeCell ref="F91"/>
    <mergeCell ref="G91"/>
    <mergeCell ref="H91"/>
    <mergeCell ref="I91"/>
    <mergeCell ref="J91"/>
    <mergeCell ref="K91"/>
    <mergeCell ref="L91"/>
    <mergeCell ref="A90"/>
    <mergeCell ref="B90"/>
    <mergeCell ref="C90"/>
    <mergeCell ref="D90"/>
    <mergeCell ref="E90"/>
    <mergeCell ref="F90"/>
    <mergeCell ref="G90"/>
    <mergeCell ref="H90"/>
    <mergeCell ref="I90"/>
    <mergeCell ref="A93"/>
    <mergeCell ref="B93"/>
    <mergeCell ref="C93"/>
    <mergeCell ref="D93"/>
    <mergeCell ref="E93"/>
    <mergeCell ref="F93"/>
    <mergeCell ref="G93"/>
    <mergeCell ref="H93"/>
    <mergeCell ref="I93"/>
    <mergeCell ref="J93"/>
    <mergeCell ref="K93"/>
    <mergeCell ref="L93"/>
    <mergeCell ref="A92"/>
    <mergeCell ref="B92"/>
    <mergeCell ref="C92"/>
    <mergeCell ref="D92"/>
    <mergeCell ref="E92"/>
    <mergeCell ref="F92"/>
    <mergeCell ref="G92"/>
    <mergeCell ref="H92"/>
    <mergeCell ref="I92"/>
    <mergeCell ref="F94"/>
    <mergeCell ref="G94"/>
    <mergeCell ref="H94"/>
    <mergeCell ref="I94"/>
    <mergeCell ref="J17"/>
    <mergeCell ref="K17"/>
    <mergeCell ref="L17"/>
    <mergeCell ref="B17"/>
    <mergeCell ref="C17"/>
    <mergeCell ref="D17"/>
    <mergeCell ref="E17"/>
    <mergeCell ref="F17"/>
    <mergeCell ref="G17"/>
    <mergeCell ref="H17"/>
    <mergeCell ref="I17"/>
    <mergeCell ref="J18"/>
    <mergeCell ref="K18"/>
    <mergeCell ref="L18"/>
    <mergeCell ref="B20"/>
    <mergeCell ref="J92"/>
    <mergeCell ref="K92"/>
    <mergeCell ref="L92"/>
    <mergeCell ref="J90"/>
    <mergeCell ref="K90"/>
    <mergeCell ref="L90"/>
    <mergeCell ref="J88"/>
    <mergeCell ref="K88"/>
    <mergeCell ref="L88"/>
    <mergeCell ref="J86"/>
    <mergeCell ref="K86"/>
    <mergeCell ref="L86"/>
    <mergeCell ref="J84"/>
    <mergeCell ref="J96"/>
    <mergeCell ref="K96"/>
    <mergeCell ref="L96"/>
    <mergeCell ref="A96"/>
    <mergeCell ref="B96"/>
    <mergeCell ref="C96"/>
    <mergeCell ref="D96"/>
    <mergeCell ref="E96"/>
    <mergeCell ref="F96"/>
    <mergeCell ref="G96"/>
    <mergeCell ref="H96"/>
    <mergeCell ref="I96"/>
    <mergeCell ref="J94"/>
    <mergeCell ref="K94"/>
    <mergeCell ref="L94"/>
    <mergeCell ref="A95"/>
    <mergeCell ref="B95"/>
    <mergeCell ref="C95"/>
    <mergeCell ref="D95"/>
    <mergeCell ref="E95"/>
    <mergeCell ref="F95"/>
    <mergeCell ref="G95"/>
    <mergeCell ref="H95"/>
    <mergeCell ref="I95"/>
    <mergeCell ref="J95"/>
    <mergeCell ref="K95"/>
    <mergeCell ref="L95"/>
    <mergeCell ref="A94"/>
    <mergeCell ref="B94"/>
    <mergeCell ref="C94"/>
    <mergeCell ref="D94"/>
    <mergeCell ref="E94"/>
    <mergeCell ref="C20"/>
    <mergeCell ref="D20"/>
    <mergeCell ref="E20"/>
    <mergeCell ref="F20"/>
    <mergeCell ref="G20"/>
    <mergeCell ref="H20"/>
    <mergeCell ref="I20"/>
    <mergeCell ref="J20"/>
    <mergeCell ref="K20"/>
    <mergeCell ref="L20"/>
    <mergeCell ref="B18"/>
    <mergeCell ref="C18"/>
    <mergeCell ref="D18"/>
    <mergeCell ref="E18"/>
    <mergeCell ref="F18"/>
    <mergeCell ref="G18"/>
    <mergeCell ref="H18"/>
    <mergeCell ref="I18"/>
    <mergeCell ref="J21"/>
    <mergeCell ref="K21"/>
    <mergeCell ref="L21"/>
    <mergeCell ref="B22"/>
    <mergeCell ref="C22"/>
    <mergeCell ref="D22"/>
    <mergeCell ref="E22"/>
    <mergeCell ref="F22"/>
    <mergeCell ref="G22"/>
    <mergeCell ref="H22"/>
    <mergeCell ref="I22"/>
    <mergeCell ref="J22"/>
    <mergeCell ref="K22"/>
    <mergeCell ref="L22"/>
    <mergeCell ref="B21"/>
    <mergeCell ref="C21"/>
    <mergeCell ref="D21"/>
    <mergeCell ref="E21"/>
    <mergeCell ref="F21"/>
    <mergeCell ref="G21"/>
    <mergeCell ref="H21"/>
    <mergeCell ref="I21"/>
    <mergeCell ref="J23"/>
    <mergeCell ref="K23"/>
    <mergeCell ref="L23"/>
    <mergeCell ref="B24"/>
    <mergeCell ref="C24"/>
    <mergeCell ref="D24"/>
    <mergeCell ref="E24"/>
    <mergeCell ref="F24"/>
    <mergeCell ref="G24"/>
    <mergeCell ref="H24"/>
    <mergeCell ref="I24"/>
    <mergeCell ref="J24"/>
    <mergeCell ref="K24"/>
    <mergeCell ref="L24"/>
    <mergeCell ref="B23"/>
    <mergeCell ref="C23"/>
    <mergeCell ref="D23"/>
    <mergeCell ref="E23"/>
    <mergeCell ref="F23"/>
    <mergeCell ref="G23"/>
    <mergeCell ref="H23"/>
    <mergeCell ref="I23"/>
    <mergeCell ref="J25"/>
    <mergeCell ref="K25"/>
    <mergeCell ref="L25"/>
    <mergeCell ref="B26"/>
    <mergeCell ref="C26"/>
    <mergeCell ref="D26"/>
    <mergeCell ref="E26"/>
    <mergeCell ref="F26"/>
    <mergeCell ref="G26"/>
    <mergeCell ref="H26"/>
    <mergeCell ref="I26"/>
    <mergeCell ref="J26"/>
    <mergeCell ref="K26"/>
    <mergeCell ref="L26"/>
    <mergeCell ref="B25"/>
    <mergeCell ref="C25"/>
    <mergeCell ref="D25"/>
    <mergeCell ref="E25"/>
    <mergeCell ref="F25"/>
    <mergeCell ref="G25"/>
    <mergeCell ref="H25"/>
    <mergeCell ref="I25"/>
    <mergeCell ref="J27"/>
    <mergeCell ref="K27"/>
    <mergeCell ref="L27"/>
    <mergeCell ref="B28"/>
    <mergeCell ref="C28"/>
    <mergeCell ref="D28"/>
    <mergeCell ref="E28"/>
    <mergeCell ref="F28"/>
    <mergeCell ref="G28"/>
    <mergeCell ref="H28"/>
    <mergeCell ref="I28"/>
    <mergeCell ref="J28"/>
    <mergeCell ref="K28"/>
    <mergeCell ref="L28"/>
    <mergeCell ref="B27"/>
    <mergeCell ref="C27"/>
    <mergeCell ref="D27"/>
    <mergeCell ref="E27"/>
    <mergeCell ref="F27"/>
    <mergeCell ref="G27"/>
    <mergeCell ref="H27"/>
    <mergeCell ref="I27"/>
    <mergeCell ref="J29"/>
    <mergeCell ref="K29"/>
    <mergeCell ref="L29"/>
    <mergeCell ref="B30"/>
    <mergeCell ref="C30"/>
    <mergeCell ref="D30"/>
    <mergeCell ref="E30"/>
    <mergeCell ref="F30"/>
    <mergeCell ref="G30"/>
    <mergeCell ref="H30"/>
    <mergeCell ref="I30"/>
    <mergeCell ref="J30"/>
    <mergeCell ref="K30"/>
    <mergeCell ref="L30"/>
    <mergeCell ref="B29"/>
    <mergeCell ref="C29"/>
    <mergeCell ref="D29"/>
    <mergeCell ref="E29"/>
    <mergeCell ref="F29"/>
    <mergeCell ref="G29"/>
    <mergeCell ref="H29"/>
    <mergeCell ref="I29"/>
    <mergeCell ref="J31"/>
    <mergeCell ref="K31"/>
    <mergeCell ref="L31"/>
    <mergeCell ref="B32"/>
    <mergeCell ref="C32"/>
    <mergeCell ref="D32"/>
    <mergeCell ref="E32"/>
    <mergeCell ref="F32"/>
    <mergeCell ref="G32"/>
    <mergeCell ref="H32"/>
    <mergeCell ref="I32"/>
    <mergeCell ref="J32"/>
    <mergeCell ref="K32"/>
    <mergeCell ref="L32"/>
    <mergeCell ref="B31"/>
    <mergeCell ref="C31"/>
    <mergeCell ref="D31"/>
    <mergeCell ref="E31"/>
    <mergeCell ref="F31"/>
    <mergeCell ref="G31"/>
    <mergeCell ref="H31"/>
    <mergeCell ref="I31"/>
    <mergeCell ref="J33"/>
    <mergeCell ref="K33"/>
    <mergeCell ref="L33"/>
    <mergeCell ref="B34"/>
    <mergeCell ref="C34"/>
    <mergeCell ref="D34"/>
    <mergeCell ref="E34"/>
    <mergeCell ref="F34"/>
    <mergeCell ref="G34"/>
    <mergeCell ref="H34"/>
    <mergeCell ref="I34"/>
    <mergeCell ref="J34"/>
    <mergeCell ref="K34"/>
    <mergeCell ref="L34"/>
    <mergeCell ref="B33"/>
    <mergeCell ref="C33"/>
    <mergeCell ref="D33"/>
    <mergeCell ref="E33"/>
    <mergeCell ref="F33"/>
    <mergeCell ref="G33"/>
    <mergeCell ref="H33"/>
    <mergeCell ref="I33"/>
    <mergeCell ref="J35"/>
    <mergeCell ref="K35"/>
    <mergeCell ref="L35"/>
    <mergeCell ref="A36"/>
    <mergeCell ref="B36"/>
    <mergeCell ref="C36"/>
    <mergeCell ref="D36"/>
    <mergeCell ref="E36"/>
    <mergeCell ref="F36"/>
    <mergeCell ref="G36"/>
    <mergeCell ref="H36"/>
    <mergeCell ref="I36"/>
    <mergeCell ref="J36"/>
    <mergeCell ref="K36"/>
    <mergeCell ref="L36"/>
    <mergeCell ref="B35"/>
    <mergeCell ref="C35"/>
    <mergeCell ref="D35"/>
    <mergeCell ref="E35"/>
    <mergeCell ref="F35"/>
    <mergeCell ref="G35"/>
    <mergeCell ref="H35"/>
    <mergeCell ref="I35"/>
    <mergeCell ref="J37"/>
    <mergeCell ref="K37"/>
    <mergeCell ref="L37"/>
    <mergeCell ref="A38"/>
    <mergeCell ref="B38"/>
    <mergeCell ref="C38"/>
    <mergeCell ref="D38"/>
    <mergeCell ref="E38"/>
    <mergeCell ref="F38"/>
    <mergeCell ref="G38"/>
    <mergeCell ref="H38"/>
    <mergeCell ref="I38"/>
    <mergeCell ref="J38"/>
    <mergeCell ref="K38"/>
    <mergeCell ref="L38"/>
    <mergeCell ref="A37"/>
    <mergeCell ref="B37"/>
    <mergeCell ref="C37"/>
    <mergeCell ref="D37"/>
    <mergeCell ref="E37"/>
    <mergeCell ref="F37"/>
    <mergeCell ref="G37"/>
    <mergeCell ref="H37"/>
    <mergeCell ref="I37"/>
    <mergeCell ref="J39"/>
    <mergeCell ref="K39"/>
    <mergeCell ref="L39"/>
    <mergeCell ref="A40"/>
    <mergeCell ref="B40"/>
    <mergeCell ref="C40"/>
    <mergeCell ref="D40"/>
    <mergeCell ref="E40"/>
    <mergeCell ref="F40"/>
    <mergeCell ref="G40"/>
    <mergeCell ref="H40"/>
    <mergeCell ref="I40"/>
    <mergeCell ref="J40"/>
    <mergeCell ref="K40"/>
    <mergeCell ref="L40"/>
    <mergeCell ref="A39"/>
    <mergeCell ref="B39"/>
    <mergeCell ref="C39"/>
    <mergeCell ref="D39"/>
    <mergeCell ref="E39"/>
    <mergeCell ref="F39"/>
    <mergeCell ref="G39"/>
    <mergeCell ref="H39"/>
    <mergeCell ref="I39"/>
    <mergeCell ref="J41"/>
    <mergeCell ref="K41"/>
    <mergeCell ref="L41"/>
    <mergeCell ref="A42"/>
    <mergeCell ref="B42"/>
    <mergeCell ref="C42"/>
    <mergeCell ref="D42"/>
    <mergeCell ref="E42"/>
    <mergeCell ref="F42"/>
    <mergeCell ref="G42"/>
    <mergeCell ref="H42"/>
    <mergeCell ref="I42"/>
    <mergeCell ref="J42"/>
    <mergeCell ref="K42"/>
    <mergeCell ref="L42"/>
    <mergeCell ref="A41"/>
    <mergeCell ref="B41"/>
    <mergeCell ref="C41"/>
    <mergeCell ref="D41"/>
    <mergeCell ref="E41"/>
    <mergeCell ref="F41"/>
    <mergeCell ref="G41"/>
    <mergeCell ref="H41"/>
    <mergeCell ref="I41"/>
    <mergeCell ref="J43"/>
    <mergeCell ref="K43"/>
    <mergeCell ref="L43"/>
    <mergeCell ref="A44"/>
    <mergeCell ref="B44"/>
    <mergeCell ref="C44"/>
    <mergeCell ref="D44"/>
    <mergeCell ref="E44"/>
    <mergeCell ref="F44"/>
    <mergeCell ref="G44"/>
    <mergeCell ref="H44"/>
    <mergeCell ref="I44"/>
    <mergeCell ref="J44"/>
    <mergeCell ref="K44"/>
    <mergeCell ref="L44"/>
    <mergeCell ref="A43"/>
    <mergeCell ref="B43"/>
    <mergeCell ref="C43"/>
    <mergeCell ref="D43"/>
    <mergeCell ref="E43"/>
    <mergeCell ref="F43"/>
    <mergeCell ref="G43"/>
    <mergeCell ref="H43"/>
    <mergeCell ref="I43"/>
    <mergeCell ref="J45"/>
    <mergeCell ref="K45"/>
    <mergeCell ref="L45"/>
    <mergeCell ref="A46"/>
    <mergeCell ref="B46"/>
    <mergeCell ref="C46"/>
    <mergeCell ref="D46"/>
    <mergeCell ref="E46"/>
    <mergeCell ref="F46"/>
    <mergeCell ref="G46"/>
    <mergeCell ref="H46"/>
    <mergeCell ref="I46"/>
    <mergeCell ref="J46"/>
    <mergeCell ref="K46"/>
    <mergeCell ref="L46"/>
    <mergeCell ref="A45"/>
    <mergeCell ref="B45"/>
    <mergeCell ref="C45"/>
    <mergeCell ref="D45"/>
    <mergeCell ref="E45"/>
    <mergeCell ref="F45"/>
    <mergeCell ref="G45"/>
    <mergeCell ref="H45"/>
    <mergeCell ref="I45"/>
    <mergeCell ref="J47"/>
    <mergeCell ref="K47"/>
    <mergeCell ref="L47"/>
    <mergeCell ref="A48"/>
    <mergeCell ref="B48"/>
    <mergeCell ref="C48"/>
    <mergeCell ref="D48"/>
    <mergeCell ref="E48"/>
    <mergeCell ref="F48"/>
    <mergeCell ref="G48"/>
    <mergeCell ref="H48"/>
    <mergeCell ref="I48"/>
    <mergeCell ref="J48"/>
    <mergeCell ref="K48"/>
    <mergeCell ref="L48"/>
    <mergeCell ref="A47"/>
    <mergeCell ref="B47"/>
    <mergeCell ref="C47"/>
    <mergeCell ref="D47"/>
    <mergeCell ref="E47"/>
    <mergeCell ref="F47"/>
    <mergeCell ref="G47"/>
    <mergeCell ref="H47"/>
    <mergeCell ref="I47"/>
    <mergeCell ref="J1"/>
    <mergeCell ref="K1"/>
    <mergeCell ref="L1"/>
    <mergeCell ref="A2"/>
    <mergeCell ref="B2"/>
    <mergeCell ref="C2"/>
    <mergeCell ref="D2"/>
    <mergeCell ref="E2"/>
    <mergeCell ref="F2"/>
    <mergeCell ref="G2"/>
    <mergeCell ref="H2"/>
    <mergeCell ref="I2"/>
    <mergeCell ref="J2"/>
    <mergeCell ref="K2"/>
    <mergeCell ref="L2"/>
    <mergeCell ref="A1"/>
    <mergeCell ref="B1"/>
    <mergeCell ref="C1"/>
    <mergeCell ref="D1"/>
    <mergeCell ref="E1"/>
    <mergeCell ref="F1"/>
    <mergeCell ref="G1"/>
    <mergeCell ref="H1"/>
    <mergeCell ref="I1"/>
    <mergeCell ref="J3"/>
    <mergeCell ref="K3"/>
    <mergeCell ref="L3"/>
    <mergeCell ref="A4"/>
    <mergeCell ref="B4"/>
    <mergeCell ref="C4"/>
    <mergeCell ref="D4"/>
    <mergeCell ref="E4"/>
    <mergeCell ref="F4"/>
    <mergeCell ref="G4"/>
    <mergeCell ref="H4"/>
    <mergeCell ref="I4"/>
    <mergeCell ref="J4"/>
    <mergeCell ref="K4"/>
    <mergeCell ref="L4"/>
    <mergeCell ref="A3"/>
    <mergeCell ref="B3"/>
    <mergeCell ref="C3"/>
    <mergeCell ref="D3"/>
    <mergeCell ref="E3"/>
    <mergeCell ref="F3"/>
    <mergeCell ref="G3"/>
    <mergeCell ref="H3"/>
    <mergeCell ref="I3"/>
    <mergeCell ref="J5"/>
    <mergeCell ref="K5"/>
    <mergeCell ref="L5"/>
    <mergeCell ref="A6"/>
    <mergeCell ref="B6"/>
    <mergeCell ref="C6"/>
    <mergeCell ref="D6"/>
    <mergeCell ref="E6"/>
    <mergeCell ref="F6"/>
    <mergeCell ref="G6"/>
    <mergeCell ref="H6"/>
    <mergeCell ref="I6"/>
    <mergeCell ref="J6"/>
    <mergeCell ref="K6"/>
    <mergeCell ref="L6"/>
    <mergeCell ref="A5"/>
    <mergeCell ref="B5"/>
    <mergeCell ref="C5"/>
    <mergeCell ref="D5"/>
    <mergeCell ref="E5"/>
    <mergeCell ref="F5"/>
    <mergeCell ref="G5"/>
    <mergeCell ref="H5"/>
    <mergeCell ref="I5"/>
    <mergeCell ref="J7"/>
    <mergeCell ref="K7"/>
    <mergeCell ref="L7"/>
    <mergeCell ref="B8"/>
    <mergeCell ref="C8"/>
    <mergeCell ref="D8"/>
    <mergeCell ref="E8"/>
    <mergeCell ref="F8"/>
    <mergeCell ref="G8"/>
    <mergeCell ref="H8"/>
    <mergeCell ref="I8"/>
    <mergeCell ref="J8"/>
    <mergeCell ref="K8"/>
    <mergeCell ref="L8"/>
    <mergeCell ref="B7"/>
    <mergeCell ref="C7"/>
    <mergeCell ref="D7"/>
    <mergeCell ref="E7"/>
    <mergeCell ref="F7"/>
    <mergeCell ref="G7"/>
    <mergeCell ref="H7"/>
    <mergeCell ref="I7"/>
    <mergeCell ref="J9"/>
    <mergeCell ref="K9"/>
    <mergeCell ref="L9"/>
    <mergeCell ref="B10"/>
    <mergeCell ref="C10"/>
    <mergeCell ref="D10"/>
    <mergeCell ref="E10"/>
    <mergeCell ref="F10"/>
    <mergeCell ref="G10"/>
    <mergeCell ref="H10"/>
    <mergeCell ref="I10"/>
    <mergeCell ref="J10"/>
    <mergeCell ref="K10"/>
    <mergeCell ref="L10"/>
    <mergeCell ref="B9"/>
    <mergeCell ref="C9"/>
    <mergeCell ref="D9"/>
    <mergeCell ref="E9"/>
    <mergeCell ref="F9"/>
    <mergeCell ref="G9"/>
    <mergeCell ref="H9"/>
    <mergeCell ref="I9"/>
    <mergeCell ref="J11"/>
    <mergeCell ref="K11"/>
    <mergeCell ref="L11"/>
    <mergeCell ref="B12"/>
    <mergeCell ref="C12"/>
    <mergeCell ref="D12"/>
    <mergeCell ref="E12"/>
    <mergeCell ref="F12"/>
    <mergeCell ref="G12"/>
    <mergeCell ref="H12"/>
    <mergeCell ref="I12"/>
    <mergeCell ref="J12"/>
    <mergeCell ref="K12"/>
    <mergeCell ref="L12"/>
    <mergeCell ref="B11"/>
    <mergeCell ref="C11"/>
    <mergeCell ref="D11"/>
    <mergeCell ref="E11"/>
    <mergeCell ref="F11"/>
    <mergeCell ref="G11"/>
    <mergeCell ref="H11"/>
    <mergeCell ref="I11"/>
    <mergeCell ref="J13"/>
    <mergeCell ref="K13"/>
    <mergeCell ref="L13"/>
    <mergeCell ref="B14"/>
    <mergeCell ref="C14"/>
    <mergeCell ref="D14"/>
    <mergeCell ref="E14"/>
    <mergeCell ref="F14"/>
    <mergeCell ref="G14"/>
    <mergeCell ref="H14"/>
    <mergeCell ref="I14"/>
    <mergeCell ref="J14"/>
    <mergeCell ref="K14"/>
    <mergeCell ref="L14"/>
    <mergeCell ref="B13"/>
    <mergeCell ref="C13"/>
    <mergeCell ref="D13"/>
    <mergeCell ref="E13"/>
    <mergeCell ref="F13"/>
    <mergeCell ref="G13"/>
    <mergeCell ref="H13"/>
    <mergeCell ref="I13"/>
    <mergeCell ref="J15"/>
    <mergeCell ref="K15"/>
    <mergeCell ref="L15"/>
    <mergeCell ref="B16"/>
    <mergeCell ref="C16"/>
    <mergeCell ref="D16"/>
    <mergeCell ref="E16"/>
    <mergeCell ref="F16"/>
    <mergeCell ref="G16"/>
    <mergeCell ref="H16"/>
    <mergeCell ref="I16"/>
    <mergeCell ref="J16"/>
    <mergeCell ref="K16"/>
    <mergeCell ref="L16"/>
    <mergeCell ref="B15"/>
    <mergeCell ref="C15"/>
    <mergeCell ref="D15"/>
    <mergeCell ref="E15"/>
    <mergeCell ref="F15"/>
    <mergeCell ref="G15"/>
    <mergeCell ref="H15"/>
    <mergeCell ref="I15"/>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97" workbookViewId="0">
      <selection activeCell="Q119" sqref="Q119"/>
    </sheetView>
  </sheetViews>
  <sheetFormatPr defaultRowHeight="13.5"/>
  <sheetData>
    <row r="1" spans="1:1">
      <c r="A1" s="3466" t="s">
        <v>3933</v>
      </c>
    </row>
    <row r="54" spans="1:1">
      <c r="A54" s="3466" t="s">
        <v>3934</v>
      </c>
    </row>
    <row r="102" spans="1:1">
      <c r="A102" s="3466" t="s">
        <v>3935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4" t="str">
        <f>项目基本情况!S2</f>
        <v>北京市房地产</v>
      </c>
      <c r="B4" s="854">
        <f>项目基本情况!C17</f>
        <v>44954.17</v>
      </c>
      <c r="C4" s="854">
        <f>项目基本情况!C18</f>
        <v>18302.099999999999</v>
      </c>
      <c r="D4" s="854">
        <f ca="1">结果表!D118</f>
        <v>78115</v>
      </c>
      <c r="E4" s="854">
        <f ca="1">结果表!E118</f>
        <v>17377</v>
      </c>
      <c r="F4" s="854">
        <f ca="1">结果表!F118</f>
        <v>949</v>
      </c>
      <c r="G4" s="854">
        <f ca="1">结果表!G118</f>
        <v>211</v>
      </c>
      <c r="H4" s="854">
        <f ca="1">结果表!H118</f>
        <v>79064</v>
      </c>
      <c r="I4" s="854">
        <f ca="1">结果表!I118</f>
        <v>17588</v>
      </c>
    </row>
    <row r="5" spans="1:9" ht="30" customHeight="1">
      <c r="A5" s="3497" t="s">
        <v>927</v>
      </c>
      <c r="B5" s="3497"/>
      <c r="C5" s="3497"/>
      <c r="D5" s="3497" t="str">
        <f ca="1">结果表!D119</f>
        <v>柒亿捌仟壹佰壹拾伍万元整</v>
      </c>
      <c r="E5" s="3497"/>
      <c r="F5" s="3497" t="str">
        <f ca="1">结果表!F119</f>
        <v>玖佰肆拾玖万元整</v>
      </c>
      <c r="G5" s="3497"/>
      <c r="H5" s="3497" t="str">
        <f ca="1">结果表!H119</f>
        <v>柒亿玖仟零陆拾肆万元整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79064</v>
      </c>
      <c r="E8" s="3496"/>
      <c r="F8" s="3496"/>
      <c r="G8" s="3496"/>
      <c r="H8" s="3496"/>
      <c r="I8" s="3496"/>
    </row>
    <row r="9" spans="1:9" ht="15">
      <c r="A9" s="3497" t="s">
        <v>927</v>
      </c>
      <c r="B9" s="3497"/>
      <c r="C9" s="3497"/>
      <c r="D9" s="3497" t="str">
        <f ca="1">结果表!D123</f>
        <v>柒亿玖仟零陆拾肆万元整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949</v>
      </c>
      <c r="B1" s="3509"/>
      <c r="C1" s="3509"/>
      <c r="D1" s="3509"/>
    </row>
    <row r="2" spans="1:4" ht="18">
      <c r="A2" s="3510" t="s">
        <v>933</v>
      </c>
      <c r="B2" s="3510"/>
      <c r="C2" s="3510"/>
      <c r="D2" s="351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0" t="s">
        <v>939</v>
      </c>
      <c r="B6" s="3510"/>
      <c r="C6" s="3510"/>
      <c r="D6" s="351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45132</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2441</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39"/>
      <c r="E18" s="3522" t="s">
        <v>2162</v>
      </c>
      <c r="F18" s="3521"/>
      <c r="G18" s="3521"/>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住宅案例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2023-07-25T02:55:53Z</dcterms:modified>
</cp:coreProperties>
</file>